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yanleyland2/Documents/BWL Papers etc/Website files/Power Industry/"/>
    </mc:Choice>
  </mc:AlternateContent>
  <xr:revisionPtr revIDLastSave="0" documentId="13_ncr:1_{9C1E7ED4-CE16-2449-BCD3-148ECA2F8B78}" xr6:coauthVersionLast="45" xr6:coauthVersionMax="45" xr10:uidLastSave="{00000000-0000-0000-0000-000000000000}"/>
  <bookViews>
    <workbookView xWindow="960" yWindow="2660" windowWidth="33120" windowHeight="21000" activeTab="2" xr2:uid="{35B01A50-BF6D-E84D-9936-95A060D9C4A6}"/>
  </bookViews>
  <sheets>
    <sheet name="Sheet1" sheetId="1" r:id="rId1"/>
    <sheet name="Sheet2" sheetId="2" r:id="rId2"/>
    <sheet name="Sheet3" sheetId="3" r:id="rId3"/>
  </sheets>
  <definedNames>
    <definedName name="_xlchart.v1.0" hidden="1">Sheet2!$E$11:$E$20</definedName>
    <definedName name="_xlchart.v1.1" hidden="1">Sheet2!$F$11:$F$20</definedName>
    <definedName name="_xlchart.v1.10" hidden="1">Sheet2!$E$14:$E$15</definedName>
    <definedName name="_xlchart.v1.11" hidden="1">Sheet2!$F$14:$F$15</definedName>
    <definedName name="_xlchart.v1.12" hidden="1">Sheet2!$E$12:$E$21</definedName>
    <definedName name="_xlchart.v1.13" hidden="1">Sheet2!$F$12:$F$21</definedName>
    <definedName name="_xlchart.v1.14" hidden="1">Sheet2!$E$12:$E$21</definedName>
    <definedName name="_xlchart.v1.15" hidden="1">Sheet2!$F$12:$F$21</definedName>
    <definedName name="_xlchart.v1.2" hidden="1">Sheet2!$E$12:$E$21</definedName>
    <definedName name="_xlchart.v1.3" hidden="1">Sheet2!$F$12:$F$21</definedName>
    <definedName name="_xlchart.v1.4" hidden="1">Sheet2!$E$12:$E$21</definedName>
    <definedName name="_xlchart.v1.5" hidden="1">Sheet2!$F$12:$F$21</definedName>
    <definedName name="_xlchart.v1.6" hidden="1">Sheet2!$E$12:$E$15</definedName>
    <definedName name="_xlchart.v1.7" hidden="1">Sheet2!$F$12:$F$15</definedName>
    <definedName name="_xlchart.v1.8" hidden="1">Sheet2!$E$12:$E$21</definedName>
    <definedName name="_xlchart.v1.9" hidden="1">Sheet2!$F$12:$F$21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3" l="1"/>
  <c r="F11" i="3" s="1"/>
  <c r="C13" i="3"/>
  <c r="C11" i="3"/>
  <c r="C10" i="3"/>
  <c r="C9" i="3"/>
  <c r="C8" i="3"/>
  <c r="C69" i="3"/>
  <c r="C70" i="3" s="1"/>
  <c r="I48" i="3"/>
  <c r="I47" i="3"/>
  <c r="J47" i="3" s="1"/>
  <c r="J46" i="3"/>
  <c r="I45" i="3"/>
  <c r="J45" i="3" s="1"/>
  <c r="C40" i="3"/>
  <c r="D40" i="3" s="1"/>
  <c r="I37" i="3"/>
  <c r="J35" i="3"/>
  <c r="I34" i="3"/>
  <c r="I36" i="3" s="1"/>
  <c r="I17" i="3"/>
  <c r="C17" i="3"/>
  <c r="I16" i="3"/>
  <c r="I13" i="3"/>
  <c r="I23" i="3" s="1"/>
  <c r="J23" i="3" s="1"/>
  <c r="I12" i="3"/>
  <c r="I7" i="3"/>
  <c r="C7" i="3"/>
  <c r="I6" i="3"/>
  <c r="I19" i="3" s="1"/>
  <c r="I22" i="3" s="1"/>
  <c r="I5" i="3"/>
  <c r="C5" i="3"/>
  <c r="C6" i="3" s="1"/>
  <c r="C19" i="3" s="1"/>
  <c r="C70" i="2"/>
  <c r="C69" i="2"/>
  <c r="C68" i="2"/>
  <c r="C67" i="2"/>
  <c r="C10" i="2"/>
  <c r="C11" i="2" s="1"/>
  <c r="C8" i="2"/>
  <c r="C42" i="3" l="1"/>
  <c r="C22" i="3"/>
  <c r="C41" i="3"/>
  <c r="D41" i="3" s="1"/>
  <c r="D42" i="3"/>
  <c r="D44" i="3" s="1"/>
  <c r="C44" i="3"/>
  <c r="J22" i="3"/>
  <c r="I24" i="3"/>
  <c r="J36" i="3"/>
  <c r="I38" i="3"/>
  <c r="J38" i="3" s="1"/>
  <c r="C72" i="3"/>
  <c r="C71" i="3"/>
  <c r="I49" i="3"/>
  <c r="J49" i="3" s="1"/>
  <c r="C14" i="3"/>
  <c r="I14" i="3"/>
  <c r="C48" i="3"/>
  <c r="C18" i="3"/>
  <c r="F7" i="3" s="1"/>
  <c r="I28" i="3"/>
  <c r="J34" i="3"/>
  <c r="F6" i="3"/>
  <c r="C23" i="3"/>
  <c r="D23" i="3" s="1"/>
  <c r="C28" i="3"/>
  <c r="J28" i="3" l="1"/>
  <c r="D48" i="3"/>
  <c r="J24" i="3"/>
  <c r="I27" i="3"/>
  <c r="J27" i="3" s="1"/>
  <c r="I25" i="3"/>
  <c r="J25" i="3" s="1"/>
  <c r="D28" i="3"/>
  <c r="C47" i="3"/>
  <c r="D47" i="3" s="1"/>
  <c r="C45" i="3"/>
  <c r="D45" i="3" s="1"/>
  <c r="D22" i="3"/>
  <c r="C24" i="3"/>
  <c r="C25" i="3" l="1"/>
  <c r="D25" i="3" s="1"/>
  <c r="D24" i="3"/>
  <c r="C27" i="3"/>
  <c r="C49" i="3"/>
  <c r="I29" i="3"/>
  <c r="J29" i="3" l="1"/>
  <c r="I31" i="3"/>
  <c r="J31" i="3" s="1"/>
  <c r="D49" i="3"/>
  <c r="C51" i="3"/>
  <c r="D51" i="3" s="1"/>
  <c r="D27" i="3"/>
  <c r="C29" i="3"/>
  <c r="I46" i="2"/>
  <c r="I26" i="2"/>
  <c r="I23" i="2"/>
  <c r="I21" i="2"/>
  <c r="I15" i="2"/>
  <c r="I10" i="2"/>
  <c r="I14" i="2"/>
  <c r="C15" i="2"/>
  <c r="C14" i="2"/>
  <c r="I5" i="2"/>
  <c r="I7" i="2" s="1"/>
  <c r="C7" i="2"/>
  <c r="C5" i="2"/>
  <c r="J44" i="2"/>
  <c r="I43" i="2"/>
  <c r="I45" i="2" s="1"/>
  <c r="I35" i="2"/>
  <c r="I34" i="2"/>
  <c r="I36" i="2" s="1"/>
  <c r="J36" i="2" s="1"/>
  <c r="J33" i="2"/>
  <c r="J32" i="2"/>
  <c r="I32" i="2"/>
  <c r="C31" i="3" l="1"/>
  <c r="D31" i="3" s="1"/>
  <c r="D29" i="3"/>
  <c r="C40" i="2"/>
  <c r="F6" i="2"/>
  <c r="C16" i="2"/>
  <c r="F7" i="2" s="1"/>
  <c r="C46" i="2"/>
  <c r="D46" i="2" s="1"/>
  <c r="C21" i="2"/>
  <c r="D21" i="2" s="1"/>
  <c r="C26" i="2"/>
  <c r="C12" i="2"/>
  <c r="C38" i="2"/>
  <c r="D38" i="2" s="1"/>
  <c r="F9" i="2"/>
  <c r="J21" i="2"/>
  <c r="J26" i="2"/>
  <c r="I11" i="2"/>
  <c r="I12" i="2" s="1"/>
  <c r="D40" i="2"/>
  <c r="J45" i="2"/>
  <c r="I47" i="2"/>
  <c r="J47" i="2" s="1"/>
  <c r="J43" i="2"/>
  <c r="C6" i="2"/>
  <c r="C17" i="2" s="1"/>
  <c r="J34" i="2"/>
  <c r="I6" i="2"/>
  <c r="I17" i="2" s="1"/>
  <c r="I20" i="2" s="1"/>
  <c r="C12" i="1"/>
  <c r="C36" i="1" s="1"/>
  <c r="I44" i="1"/>
  <c r="I41" i="1"/>
  <c r="I43" i="1" s="1"/>
  <c r="J42" i="1"/>
  <c r="J31" i="1"/>
  <c r="I30" i="1"/>
  <c r="I32" i="1" s="1"/>
  <c r="I33" i="1"/>
  <c r="I24" i="1"/>
  <c r="I19" i="1"/>
  <c r="J19" i="1" s="1"/>
  <c r="C13" i="1"/>
  <c r="I10" i="1"/>
  <c r="I13" i="1"/>
  <c r="I5" i="1"/>
  <c r="I7" i="1" s="1"/>
  <c r="C9" i="1"/>
  <c r="C19" i="1" s="1"/>
  <c r="C5" i="1"/>
  <c r="C6" i="1" s="1"/>
  <c r="C15" i="1" s="1"/>
  <c r="C18" i="1" s="1"/>
  <c r="D26" i="2" l="1"/>
  <c r="C20" i="2"/>
  <c r="C39" i="2"/>
  <c r="J20" i="2"/>
  <c r="I22" i="2"/>
  <c r="C37" i="1"/>
  <c r="D37" i="1" s="1"/>
  <c r="D19" i="1"/>
  <c r="I45" i="1"/>
  <c r="J45" i="1" s="1"/>
  <c r="J43" i="1"/>
  <c r="J41" i="1"/>
  <c r="D36" i="1"/>
  <c r="C38" i="1"/>
  <c r="D38" i="1" s="1"/>
  <c r="D40" i="1" s="1"/>
  <c r="C44" i="1"/>
  <c r="D44" i="1" s="1"/>
  <c r="C24" i="1"/>
  <c r="D24" i="1" s="1"/>
  <c r="I34" i="1"/>
  <c r="J34" i="1" s="1"/>
  <c r="J30" i="1"/>
  <c r="J32" i="1"/>
  <c r="C20" i="1"/>
  <c r="D18" i="1"/>
  <c r="C10" i="1"/>
  <c r="C7" i="1"/>
  <c r="I6" i="1"/>
  <c r="I15" i="1" s="1"/>
  <c r="I18" i="1" s="1"/>
  <c r="J24" i="1"/>
  <c r="J23" i="2" l="1"/>
  <c r="J22" i="2"/>
  <c r="I25" i="2"/>
  <c r="D39" i="2"/>
  <c r="D42" i="2" s="1"/>
  <c r="C42" i="2"/>
  <c r="C43" i="2" s="1"/>
  <c r="D20" i="2"/>
  <c r="C22" i="2"/>
  <c r="C23" i="2" s="1"/>
  <c r="C40" i="1"/>
  <c r="C41" i="1"/>
  <c r="D41" i="1" s="1"/>
  <c r="C43" i="1"/>
  <c r="C23" i="1"/>
  <c r="D20" i="1"/>
  <c r="C21" i="1"/>
  <c r="D21" i="1" s="1"/>
  <c r="I20" i="1"/>
  <c r="J18" i="1"/>
  <c r="C25" i="2" l="1"/>
  <c r="D22" i="2"/>
  <c r="D23" i="2"/>
  <c r="D43" i="2"/>
  <c r="C45" i="2"/>
  <c r="I27" i="2"/>
  <c r="J25" i="2"/>
  <c r="D43" i="1"/>
  <c r="C45" i="1"/>
  <c r="C47" i="1" s="1"/>
  <c r="C25" i="1"/>
  <c r="D23" i="1"/>
  <c r="J20" i="1"/>
  <c r="I23" i="1"/>
  <c r="I21" i="1"/>
  <c r="J21" i="1" s="1"/>
  <c r="J27" i="2" l="1"/>
  <c r="I29" i="2"/>
  <c r="J29" i="2" s="1"/>
  <c r="D45" i="2"/>
  <c r="C47" i="2"/>
  <c r="D25" i="2"/>
  <c r="C27" i="2"/>
  <c r="D47" i="1"/>
  <c r="D45" i="1"/>
  <c r="C27" i="1"/>
  <c r="D27" i="1" s="1"/>
  <c r="D25" i="1"/>
  <c r="J23" i="1"/>
  <c r="I25" i="1"/>
  <c r="D27" i="2" l="1"/>
  <c r="C29" i="2"/>
  <c r="D29" i="2" s="1"/>
  <c r="C49" i="2"/>
  <c r="D49" i="2" s="1"/>
  <c r="D47" i="2"/>
  <c r="J25" i="1"/>
  <c r="I27" i="1"/>
  <c r="J27" i="1" s="1"/>
</calcChain>
</file>

<file path=xl/sharedStrings.xml><?xml version="1.0" encoding="utf-8"?>
<sst xmlns="http://schemas.openxmlformats.org/spreadsheetml/2006/main" count="370" uniqueCount="86">
  <si>
    <t>Cost of wind and solar power</t>
  </si>
  <si>
    <t>MWh</t>
  </si>
  <si>
    <t xml:space="preserve">Solar power at CF = 18% to Provide </t>
  </si>
  <si>
    <t>Say 4000 MW</t>
  </si>
  <si>
    <t>75% goes into storage with 25% losses</t>
  </si>
  <si>
    <t>MW</t>
  </si>
  <si>
    <t>GWh</t>
  </si>
  <si>
    <t>Total cost</t>
  </si>
  <si>
    <t>Annual costs at CRF = 10% (20 yrs @ 8%)</t>
  </si>
  <si>
    <t>Total annual cost</t>
  </si>
  <si>
    <t>https://www.nrel.gov/docs/fy17osti/68023.pdf</t>
  </si>
  <si>
    <t>(3)</t>
  </si>
  <si>
    <t> https://www.iea.org/data-and-statistics/charts/capital-cost-of-utility-scale-battery-storage-systems-in-the-new-policies-scenario-2017-2040</t>
  </si>
  <si>
    <t>(1)</t>
  </si>
  <si>
    <t> https://www.statista.com/statistics/566487/global-cost-of-electricity-in-utlity-scale-solar-by-country/</t>
  </si>
  <si>
    <t>(2)</t>
  </si>
  <si>
    <t>Cost/kW of demand</t>
  </si>
  <si>
    <t>Cost of storage at $200/kWh (1)</t>
  </si>
  <si>
    <t>Cost of solar @ $US 1200/kW (2)</t>
  </si>
  <si>
    <t>O&amp;M at $10/kW pa (3)</t>
  </si>
  <si>
    <t>$US</t>
  </si>
  <si>
    <t xml:space="preserve">Cost/kWh delivered </t>
  </si>
  <si>
    <t>COSTS</t>
  </si>
  <si>
    <t xml:space="preserve">Wind power at CF = 35% to Provide </t>
  </si>
  <si>
    <t>50% goes into storage with 25% losses</t>
  </si>
  <si>
    <t>Say 2500 MW to allow for downtime</t>
  </si>
  <si>
    <t>MWh pa</t>
  </si>
  <si>
    <t>Storage needed for 5 days with solar ~0</t>
  </si>
  <si>
    <t>Storage for 5 days with wind ~0</t>
  </si>
  <si>
    <t>https://www.windpowermonthly.com/article/1671659/energy-cost-analysis-2020-wind-ready-zero-subsidy-future</t>
  </si>
  <si>
    <t>Cost of wind @ $US 1350/kW (2)</t>
  </si>
  <si>
    <t>https://www.windpowermonthly.com/article/1682020/big-turbines-push-down-o-m-costs</t>
  </si>
  <si>
    <t>O&amp;M at $50/kW pa (3)</t>
  </si>
  <si>
    <t>Total</t>
  </si>
  <si>
    <t>kWh</t>
  </si>
  <si>
    <t>Wind at Station gate/kWh</t>
  </si>
  <si>
    <t>/kWh</t>
  </si>
  <si>
    <t>$1350/kW at CRF = .1</t>
  </si>
  <si>
    <t>Annual energy/kW CF = .35</t>
  </si>
  <si>
    <t>http://apvi.org.au/solar-research-conference/wp-content/uploads/2018/11/066_DI_Stocks_M_2018.pdf</t>
  </si>
  <si>
    <t>O&amp;M at $5/kW pa (3)</t>
  </si>
  <si>
    <t>https://energyenvironment.pnnl.gov/pdf/National_Assessment_Storage_PHASE_II_vol_2_final.pdf</t>
  </si>
  <si>
    <t>Cost of solar @ $US 1200/kW (3)</t>
  </si>
  <si>
    <t>Annual costs at CRF = 8% (100 yrs @ 8%)</t>
  </si>
  <si>
    <t>$NZ @ .65</t>
  </si>
  <si>
    <t>Cost to provide a continuous and stable supply to a 1000 MW load CF 70% with battery backup</t>
  </si>
  <si>
    <t>Revised capacity - increases by 1000 MW to supply losses</t>
  </si>
  <si>
    <t>Revised capacity - increases by 250 MW to supply losses</t>
  </si>
  <si>
    <t xml:space="preserve"> Energy demand pa</t>
  </si>
  <si>
    <t xml:space="preserve"> Energy demand per day</t>
  </si>
  <si>
    <t>Energy generated</t>
  </si>
  <si>
    <t>Energy fed into storage</t>
  </si>
  <si>
    <t>Solar power and batteries</t>
  </si>
  <si>
    <t>Wind Power and batteries</t>
  </si>
  <si>
    <t>Solar power and pumped storage</t>
  </si>
  <si>
    <t>Cost of pump station at $AU1200/kW (1)</t>
  </si>
  <si>
    <t>Cost of water storage at $AU150/kWh (2)</t>
  </si>
  <si>
    <t>Solar at Station gate/kWh</t>
  </si>
  <si>
    <t>$1200/kW at CRF = .1</t>
  </si>
  <si>
    <t>Annual energy/kW CF = .18</t>
  </si>
  <si>
    <t>Storage needed assuming solar max ouitput is 80% of installed cap)</t>
  </si>
  <si>
    <t>Storage needed assuming wind max ouitput is 80% of installed cap)</t>
  </si>
  <si>
    <t>Cost to provide a continuous and stable supply to a 4000 MW load CF 55% with battery backup</t>
  </si>
  <si>
    <t xml:space="preserve">Solar power at CF = 15% to Provide </t>
  </si>
  <si>
    <t>Say 15000 MW</t>
  </si>
  <si>
    <t>Storage needed assuming solar max output is 80% of installed cap)</t>
  </si>
  <si>
    <t>Say 6500 MW to allow for downtime</t>
  </si>
  <si>
    <t>Surplus over 4000 MW demand that has to be stored</t>
  </si>
  <si>
    <t>Extra capacity to cover storage losses of 25%</t>
  </si>
  <si>
    <t>Total solar capacity needed</t>
  </si>
  <si>
    <t>Total windcapacity needed</t>
  </si>
  <si>
    <t>Storage needed assuming wind max output is 80% of installed cap)</t>
  </si>
  <si>
    <t>Annual energy/kW CF = .15</t>
  </si>
  <si>
    <t>Solar plus storage capacity</t>
  </si>
  <si>
    <t>Chart data</t>
  </si>
  <si>
    <t>Demand</t>
  </si>
  <si>
    <t>Solar power</t>
  </si>
  <si>
    <t>Installed power</t>
  </si>
  <si>
    <t>Storage power</t>
  </si>
  <si>
    <t>Effective capacity at 80%</t>
  </si>
  <si>
    <t>cap</t>
  </si>
  <si>
    <t>max output</t>
  </si>
  <si>
    <t>to be stored</t>
  </si>
  <si>
    <t>Losses</t>
  </si>
  <si>
    <t>Into load</t>
  </si>
  <si>
    <t>Extra to supply storage losses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</si>
</sst>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Helvetica Neue"/>
      <family val="2"/>
    </font>
    <font>
      <u/>
      <sz val="1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43" fontId="0" fillId="0" borderId="0" xfId="1" applyFont="1"/>
    <xf numFmtId="44" fontId="0" fillId="0" borderId="0" xfId="2" applyFont="1"/>
    <xf numFmtId="164" fontId="0" fillId="0" borderId="0" xfId="2" applyNumberFormat="1" applyFont="1"/>
    <xf numFmtId="164" fontId="0" fillId="0" borderId="0" xfId="0" applyNumberFormat="1"/>
    <xf numFmtId="0" fontId="2" fillId="0" borderId="0" xfId="0" applyFont="1"/>
    <xf numFmtId="44" fontId="2" fillId="0" borderId="0" xfId="0" applyNumberFormat="1" applyFont="1"/>
    <xf numFmtId="0" fontId="0" fillId="0" borderId="0" xfId="0" quotePrefix="1" applyAlignment="1">
      <alignment horizontal="right"/>
    </xf>
    <xf numFmtId="0" fontId="3" fillId="0" borderId="0" xfId="0" applyFont="1"/>
    <xf numFmtId="0" fontId="0" fillId="0" borderId="0" xfId="0" applyFont="1"/>
    <xf numFmtId="0" fontId="4" fillId="0" borderId="0" xfId="3"/>
    <xf numFmtId="44" fontId="2" fillId="0" borderId="0" xfId="2" applyFont="1"/>
    <xf numFmtId="0" fontId="2" fillId="0" borderId="0" xfId="0" applyFont="1" applyAlignment="1">
      <alignment horizontal="center"/>
    </xf>
    <xf numFmtId="0" fontId="5" fillId="0" borderId="0" xfId="0" applyFont="1"/>
    <xf numFmtId="164" fontId="1" fillId="0" borderId="0" xfId="2" applyNumberFormat="1" applyFont="1"/>
    <xf numFmtId="164" fontId="0" fillId="0" borderId="0" xfId="0" applyNumberFormat="1" applyFont="1"/>
    <xf numFmtId="165" fontId="0" fillId="0" borderId="0" xfId="1" applyNumberFormat="1" applyFont="1"/>
    <xf numFmtId="43" fontId="0" fillId="0" borderId="0" xfId="0" applyNumberFormat="1"/>
    <xf numFmtId="165" fontId="0" fillId="0" borderId="0" xfId="0" applyNumberFormat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alpha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665-774D-9FA8-31C73ACAC47C}"/>
              </c:ext>
            </c:extLst>
          </c:dPt>
          <c:dPt>
            <c:idx val="1"/>
            <c:bubble3D val="0"/>
            <c:spPr>
              <a:solidFill>
                <a:schemeClr val="accent2">
                  <a:alpha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665-774D-9FA8-31C73ACAC47C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/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9665-774D-9FA8-31C73ACAC47C}"/>
                </c:ext>
              </c:extLst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/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9665-774D-9FA8-31C73ACAC47C}"/>
                </c:ext>
              </c:extLst>
            </c:dLbl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Sheet2!$E$14:$E$15</c:f>
              <c:strCache>
                <c:ptCount val="2"/>
                <c:pt idx="0">
                  <c:v>Storage power</c:v>
                </c:pt>
                <c:pt idx="1">
                  <c:v>Solar power</c:v>
                </c:pt>
              </c:strCache>
            </c:strRef>
          </c:cat>
          <c:val>
            <c:numRef>
              <c:f>Sheet2!$F$14:$F$15</c:f>
              <c:numCache>
                <c:formatCode>General</c:formatCode>
                <c:ptCount val="2"/>
                <c:pt idx="0">
                  <c:v>8800</c:v>
                </c:pt>
                <c:pt idx="1">
                  <c:v>17750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5-774D-9FA8-31C73ACAC47C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alpha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B03-654C-9937-ED9F9FEFFD3F}"/>
              </c:ext>
            </c:extLst>
          </c:dPt>
          <c:dPt>
            <c:idx val="1"/>
            <c:bubble3D val="0"/>
            <c:spPr>
              <a:solidFill>
                <a:schemeClr val="accent2">
                  <a:alpha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B03-654C-9937-ED9F9FEFFD3F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/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9B03-654C-9937-ED9F9FEFFD3F}"/>
                </c:ext>
              </c:extLst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/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9B03-654C-9937-ED9F9FEFFD3F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4472C4"/>
                </a:solidFill>
                <a:round/>
              </a:ln>
              <a:effectLst>
                <a:outerShdw blurRad="50800" dist="38100" dir="2700000" algn="tl" rotWithShape="0">
                  <a:srgbClr val="4472C4">
                    <a:lumMod val="75000"/>
                    <a:alpha val="40000"/>
                  </a:srgbClr>
                </a:outerShdw>
              </a:effectLst>
            </c:sp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Sheet2!$E$14:$E$15</c:f>
              <c:strCache>
                <c:ptCount val="2"/>
                <c:pt idx="0">
                  <c:v>Storage power</c:v>
                </c:pt>
                <c:pt idx="1">
                  <c:v>Solar power</c:v>
                </c:pt>
              </c:strCache>
            </c:strRef>
          </c:cat>
          <c:val>
            <c:numRef>
              <c:f>Sheet2!$F$14:$F$15</c:f>
              <c:numCache>
                <c:formatCode>General</c:formatCode>
                <c:ptCount val="2"/>
                <c:pt idx="0">
                  <c:v>8800</c:v>
                </c:pt>
                <c:pt idx="1">
                  <c:v>17750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03-654C-9937-ED9F9FEFFD3F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355600</xdr:colOff>
      <xdr:row>62</xdr:row>
      <xdr:rowOff>76200</xdr:rowOff>
    </xdr:from>
    <xdr:to>
      <xdr:col>7</xdr:col>
      <xdr:colOff>412750</xdr:colOff>
      <xdr:row>69</xdr:row>
      <xdr:rowOff>101600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9BDE1188-1115-744D-AAE8-398170CB13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355600</xdr:colOff>
      <xdr:row>64</xdr:row>
      <xdr:rowOff>76200</xdr:rowOff>
    </xdr:from>
    <xdr:to>
      <xdr:col>7</xdr:col>
      <xdr:colOff>412750</xdr:colOff>
      <xdr:row>71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B0E264-797E-4E4C-B72C-AA559A62CD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ergyenvironment.pnnl.gov/pdf/National_Assessment_Storage_PHASE_II_vol_2_final.pdf" TargetMode="External"/><Relationship Id="rId2" Type="http://schemas.openxmlformats.org/officeDocument/2006/relationships/hyperlink" Target="http://apvi.org.au/solar-research-conference/wp-content/uploads/2018/11/066_DI_Stocks_M_2018.pdf" TargetMode="External"/><Relationship Id="rId1" Type="http://schemas.openxmlformats.org/officeDocument/2006/relationships/hyperlink" Target="https://www.windpowermonthly.com/article/1671659/energy-cost-analysis-2020-wind-ready-zero-subsidy-futur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nergyenvironment.pnnl.gov/pdf/National_Assessment_Storage_PHASE_II_vol_2_final.pdf" TargetMode="External"/><Relationship Id="rId2" Type="http://schemas.openxmlformats.org/officeDocument/2006/relationships/hyperlink" Target="http://apvi.org.au/solar-research-conference/wp-content/uploads/2018/11/066_DI_Stocks_M_2018.pdf" TargetMode="External"/><Relationship Id="rId1" Type="http://schemas.openxmlformats.org/officeDocument/2006/relationships/hyperlink" Target="https://www.windpowermonthly.com/article/1671659/energy-cost-analysis-2020-wind-ready-zero-subsidy-future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energyenvironment.pnnl.gov/pdf/National_Assessment_Storage_PHASE_II_vol_2_final.pdf" TargetMode="External"/><Relationship Id="rId2" Type="http://schemas.openxmlformats.org/officeDocument/2006/relationships/hyperlink" Target="http://apvi.org.au/solar-research-conference/wp-content/uploads/2018/11/066_DI_Stocks_M_2018.pdf" TargetMode="External"/><Relationship Id="rId1" Type="http://schemas.openxmlformats.org/officeDocument/2006/relationships/hyperlink" Target="https://www.windpowermonthly.com/article/1671659/energy-cost-analysis-2020-wind-ready-zero-subsidy-future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4ACCC-548E-6B4C-89CA-1A1B45C5A935}">
  <dimension ref="A1:K51"/>
  <sheetViews>
    <sheetView workbookViewId="0">
      <selection sqref="A1:XFD1048576"/>
    </sheetView>
  </sheetViews>
  <sheetFormatPr baseColWidth="10" defaultRowHeight="16" x14ac:dyDescent="0.2"/>
  <cols>
    <col min="1" max="1" width="5.1640625" customWidth="1"/>
    <col min="2" max="2" width="58.1640625" customWidth="1"/>
    <col min="3" max="3" width="19.1640625" customWidth="1"/>
    <col min="4" max="4" width="20.5" customWidth="1"/>
    <col min="5" max="5" width="26" customWidth="1"/>
    <col min="7" max="7" width="4.5" customWidth="1"/>
    <col min="8" max="8" width="58.1640625" customWidth="1"/>
    <col min="9" max="9" width="19.83203125" customWidth="1"/>
    <col min="10" max="10" width="17.83203125" customWidth="1"/>
  </cols>
  <sheetData>
    <row r="1" spans="2:10" ht="21" x14ac:dyDescent="0.25">
      <c r="B1" s="13" t="s">
        <v>0</v>
      </c>
    </row>
    <row r="2" spans="2:10" x14ac:dyDescent="0.2">
      <c r="B2" s="5" t="s">
        <v>45</v>
      </c>
    </row>
    <row r="3" spans="2:10" x14ac:dyDescent="0.2">
      <c r="B3" s="5" t="s">
        <v>52</v>
      </c>
      <c r="H3" s="5" t="s">
        <v>53</v>
      </c>
    </row>
    <row r="5" spans="2:10" x14ac:dyDescent="0.2">
      <c r="B5" t="s">
        <v>48</v>
      </c>
      <c r="C5">
        <f>1000*8.76*0.7</f>
        <v>6132</v>
      </c>
      <c r="D5" t="s">
        <v>6</v>
      </c>
      <c r="H5" t="s">
        <v>48</v>
      </c>
      <c r="I5">
        <f>1000*8.76*0.7</f>
        <v>6132</v>
      </c>
      <c r="J5" t="s">
        <v>6</v>
      </c>
    </row>
    <row r="6" spans="2:10" x14ac:dyDescent="0.2">
      <c r="B6" t="s">
        <v>49</v>
      </c>
      <c r="C6">
        <f>C5/365</f>
        <v>16.8</v>
      </c>
      <c r="D6" t="s">
        <v>6</v>
      </c>
      <c r="H6" t="s">
        <v>49</v>
      </c>
      <c r="I6">
        <f>I5/365</f>
        <v>16.8</v>
      </c>
      <c r="J6" t="s">
        <v>6</v>
      </c>
    </row>
    <row r="7" spans="2:10" x14ac:dyDescent="0.2">
      <c r="B7" t="s">
        <v>2</v>
      </c>
      <c r="C7" s="1">
        <f>C5/0.18/8.76</f>
        <v>3888.8888888888896</v>
      </c>
      <c r="D7" t="s">
        <v>3</v>
      </c>
      <c r="H7" t="s">
        <v>23</v>
      </c>
      <c r="I7" s="1">
        <f>I5/0.35/8.76</f>
        <v>2000</v>
      </c>
      <c r="J7" t="s">
        <v>25</v>
      </c>
    </row>
    <row r="8" spans="2:10" x14ac:dyDescent="0.2">
      <c r="B8" t="s">
        <v>4</v>
      </c>
      <c r="H8" t="s">
        <v>24</v>
      </c>
    </row>
    <row r="9" spans="2:10" x14ac:dyDescent="0.2">
      <c r="B9" t="s">
        <v>46</v>
      </c>
      <c r="C9">
        <f>5000</f>
        <v>5000</v>
      </c>
      <c r="D9" t="s">
        <v>5</v>
      </c>
      <c r="H9" t="s">
        <v>47</v>
      </c>
      <c r="I9">
        <v>2750</v>
      </c>
      <c r="J9" t="s">
        <v>5</v>
      </c>
    </row>
    <row r="10" spans="2:10" x14ac:dyDescent="0.2">
      <c r="B10" t="s">
        <v>50</v>
      </c>
      <c r="C10">
        <f>C9*0.18*8.76</f>
        <v>7884</v>
      </c>
      <c r="D10" t="s">
        <v>1</v>
      </c>
      <c r="H10" t="s">
        <v>50</v>
      </c>
      <c r="I10">
        <f>I9*0.35*8.76</f>
        <v>8431.4999999999982</v>
      </c>
      <c r="J10" t="s">
        <v>1</v>
      </c>
    </row>
    <row r="12" spans="2:10" x14ac:dyDescent="0.2">
      <c r="B12" t="s">
        <v>60</v>
      </c>
      <c r="C12">
        <f>0.8*4000</f>
        <v>3200</v>
      </c>
      <c r="D12" t="s">
        <v>5</v>
      </c>
      <c r="H12" t="s">
        <v>61</v>
      </c>
      <c r="I12">
        <v>1500</v>
      </c>
      <c r="J12" t="s">
        <v>5</v>
      </c>
    </row>
    <row r="13" spans="2:10" x14ac:dyDescent="0.2">
      <c r="B13" t="s">
        <v>51</v>
      </c>
      <c r="C13">
        <f>4000*0.18*8.76</f>
        <v>6307.2</v>
      </c>
      <c r="D13" t="s">
        <v>26</v>
      </c>
      <c r="H13" t="s">
        <v>51</v>
      </c>
      <c r="I13">
        <f>3000*0.18*8.76</f>
        <v>4730.3999999999996</v>
      </c>
      <c r="J13" t="s">
        <v>1</v>
      </c>
    </row>
    <row r="15" spans="2:10" x14ac:dyDescent="0.2">
      <c r="B15" t="s">
        <v>27</v>
      </c>
      <c r="C15">
        <f>C6*5</f>
        <v>84</v>
      </c>
      <c r="D15" t="s">
        <v>6</v>
      </c>
      <c r="H15" t="s">
        <v>28</v>
      </c>
      <c r="I15">
        <f>I6*5</f>
        <v>84</v>
      </c>
      <c r="J15" t="s">
        <v>6</v>
      </c>
    </row>
    <row r="17" spans="1:10" s="5" customFormat="1" x14ac:dyDescent="0.2">
      <c r="B17" s="5" t="s">
        <v>22</v>
      </c>
      <c r="C17" s="12" t="s">
        <v>20</v>
      </c>
      <c r="D17" s="12" t="s">
        <v>44</v>
      </c>
      <c r="H17" s="5" t="s">
        <v>22</v>
      </c>
      <c r="I17" s="12" t="s">
        <v>20</v>
      </c>
      <c r="J17" s="12" t="s">
        <v>44</v>
      </c>
    </row>
    <row r="18" spans="1:10" x14ac:dyDescent="0.2">
      <c r="B18" t="s">
        <v>17</v>
      </c>
      <c r="C18" s="3">
        <f>C15*1000000*200</f>
        <v>16800000000</v>
      </c>
      <c r="D18" s="4">
        <f>C18/0.65</f>
        <v>25846153846.153847</v>
      </c>
      <c r="H18" t="s">
        <v>17</v>
      </c>
      <c r="I18" s="3">
        <f>I15*1000000*200</f>
        <v>16800000000</v>
      </c>
      <c r="J18" s="4">
        <f>I18/0.65</f>
        <v>25846153846.153847</v>
      </c>
    </row>
    <row r="19" spans="1:10" x14ac:dyDescent="0.2">
      <c r="B19" t="s">
        <v>18</v>
      </c>
      <c r="C19" s="3">
        <f>C9*1200*1000</f>
        <v>6000000000</v>
      </c>
      <c r="D19" s="4">
        <f>C19/0.65</f>
        <v>9230769230.7692299</v>
      </c>
      <c r="H19" t="s">
        <v>30</v>
      </c>
      <c r="I19" s="3">
        <f>I9*1350*1000</f>
        <v>3712500000</v>
      </c>
      <c r="J19" s="4">
        <f>I19/0.65</f>
        <v>5711538461.5384617</v>
      </c>
    </row>
    <row r="20" spans="1:10" x14ac:dyDescent="0.2">
      <c r="B20" t="s">
        <v>7</v>
      </c>
      <c r="C20" s="4">
        <f>C18+C19</f>
        <v>22800000000</v>
      </c>
      <c r="D20" s="4">
        <f>C20/0.65</f>
        <v>35076923076.923073</v>
      </c>
      <c r="H20" t="s">
        <v>7</v>
      </c>
      <c r="I20" s="4">
        <f>I18+I19</f>
        <v>20512500000</v>
      </c>
      <c r="J20" s="4">
        <f>I20/0.65</f>
        <v>31557692307.692307</v>
      </c>
    </row>
    <row r="21" spans="1:10" x14ac:dyDescent="0.2">
      <c r="B21" t="s">
        <v>16</v>
      </c>
      <c r="C21" s="4">
        <f>C20/1000000</f>
        <v>22800</v>
      </c>
      <c r="D21" s="4">
        <f>C21/0.65</f>
        <v>35076.923076923078</v>
      </c>
      <c r="H21" t="s">
        <v>16</v>
      </c>
      <c r="I21" s="4">
        <f>I20/1000000</f>
        <v>20512.5</v>
      </c>
      <c r="J21" s="4">
        <f>I21/0.65</f>
        <v>31557.692307692305</v>
      </c>
    </row>
    <row r="23" spans="1:10" x14ac:dyDescent="0.2">
      <c r="B23" t="s">
        <v>8</v>
      </c>
      <c r="C23" s="4">
        <f>C20/10</f>
        <v>2280000000</v>
      </c>
      <c r="D23" s="4">
        <f>C23/0.65</f>
        <v>3507692307.6923075</v>
      </c>
      <c r="H23" t="s">
        <v>8</v>
      </c>
      <c r="I23" s="4">
        <f>I20/10</f>
        <v>2051250000</v>
      </c>
      <c r="J23" s="4">
        <f>I23/0.65</f>
        <v>3155769230.7692308</v>
      </c>
    </row>
    <row r="24" spans="1:10" x14ac:dyDescent="0.2">
      <c r="B24" t="s">
        <v>19</v>
      </c>
      <c r="C24" s="3">
        <f>C9*1000*10</f>
        <v>50000000</v>
      </c>
      <c r="D24" s="4">
        <f>C24/0.65</f>
        <v>76923076.923076928</v>
      </c>
      <c r="H24" t="s">
        <v>32</v>
      </c>
      <c r="I24" s="3">
        <f>I9*1000*50</f>
        <v>137500000</v>
      </c>
      <c r="J24" s="4">
        <f>I24/0.65</f>
        <v>211538461.53846154</v>
      </c>
    </row>
    <row r="25" spans="1:10" x14ac:dyDescent="0.2">
      <c r="B25" t="s">
        <v>9</v>
      </c>
      <c r="C25" s="4">
        <f>C24+C23</f>
        <v>2330000000</v>
      </c>
      <c r="D25" s="4">
        <f>C25/0.65</f>
        <v>3584615384.6153846</v>
      </c>
      <c r="H25" t="s">
        <v>9</v>
      </c>
      <c r="I25" s="4">
        <f>I24+I23</f>
        <v>2188750000</v>
      </c>
      <c r="J25" s="4">
        <f>I25/0.65</f>
        <v>3367307692.3076921</v>
      </c>
    </row>
    <row r="27" spans="1:10" x14ac:dyDescent="0.2">
      <c r="B27" s="5" t="s">
        <v>21</v>
      </c>
      <c r="C27" s="6">
        <f>C25/(C5*1000000)</f>
        <v>0.37997390737116765</v>
      </c>
      <c r="D27" s="6">
        <f>C27/0.65</f>
        <v>0.58457524210948864</v>
      </c>
      <c r="H27" s="5" t="s">
        <v>21</v>
      </c>
      <c r="I27" s="6">
        <f>I25/(I5*1000000)</f>
        <v>0.35693900848010435</v>
      </c>
      <c r="J27" s="6">
        <f>I27/0.65</f>
        <v>0.54913693612323744</v>
      </c>
    </row>
    <row r="29" spans="1:10" x14ac:dyDescent="0.2">
      <c r="A29" s="7" t="s">
        <v>13</v>
      </c>
      <c r="B29" s="8" t="s">
        <v>12</v>
      </c>
      <c r="H29" s="5" t="s">
        <v>35</v>
      </c>
    </row>
    <row r="30" spans="1:10" x14ac:dyDescent="0.2">
      <c r="A30" s="7" t="s">
        <v>15</v>
      </c>
      <c r="B30" s="8" t="s">
        <v>14</v>
      </c>
      <c r="H30" t="s">
        <v>37</v>
      </c>
      <c r="I30" s="2">
        <f>1350*0.1</f>
        <v>135</v>
      </c>
      <c r="J30" s="15">
        <f>I30/0.65</f>
        <v>207.69230769230768</v>
      </c>
    </row>
    <row r="31" spans="1:10" x14ac:dyDescent="0.2">
      <c r="A31" s="7" t="s">
        <v>11</v>
      </c>
      <c r="B31" t="s">
        <v>10</v>
      </c>
      <c r="H31" t="s">
        <v>32</v>
      </c>
      <c r="I31" s="2">
        <v>50</v>
      </c>
      <c r="J31" s="15">
        <f t="shared" ref="J31:J32" si="0">I31/0.65</f>
        <v>76.92307692307692</v>
      </c>
    </row>
    <row r="32" spans="1:10" x14ac:dyDescent="0.2">
      <c r="H32" t="s">
        <v>33</v>
      </c>
      <c r="I32" s="2">
        <f>I31+I30</f>
        <v>185</v>
      </c>
      <c r="J32" s="15">
        <f t="shared" si="0"/>
        <v>284.61538461538458</v>
      </c>
    </row>
    <row r="33" spans="2:11" x14ac:dyDescent="0.2">
      <c r="H33" t="s">
        <v>38</v>
      </c>
      <c r="I33">
        <f>8760*0.35</f>
        <v>3066</v>
      </c>
      <c r="J33" t="s">
        <v>34</v>
      </c>
    </row>
    <row r="34" spans="2:11" x14ac:dyDescent="0.2">
      <c r="B34" s="5" t="s">
        <v>54</v>
      </c>
      <c r="H34" s="5" t="s">
        <v>21</v>
      </c>
      <c r="I34" s="11">
        <f>I32/I33</f>
        <v>6.033920417482061E-2</v>
      </c>
      <c r="J34" s="6">
        <f>I34/0.65</f>
        <v>9.2829544884339393E-2</v>
      </c>
      <c r="K34" s="5" t="s">
        <v>36</v>
      </c>
    </row>
    <row r="35" spans="2:11" x14ac:dyDescent="0.2">
      <c r="B35" s="5" t="s">
        <v>22</v>
      </c>
      <c r="C35" s="12" t="s">
        <v>20</v>
      </c>
      <c r="D35" s="12" t="s">
        <v>44</v>
      </c>
    </row>
    <row r="36" spans="2:11" x14ac:dyDescent="0.2">
      <c r="B36" t="s">
        <v>55</v>
      </c>
      <c r="C36" s="3">
        <f>C12*1000*1200*0.72</f>
        <v>2764800000</v>
      </c>
      <c r="D36" s="4">
        <f>C36/0.65</f>
        <v>4253538461.5384612</v>
      </c>
      <c r="G36" s="7" t="s">
        <v>13</v>
      </c>
      <c r="H36" s="8" t="s">
        <v>12</v>
      </c>
    </row>
    <row r="37" spans="2:11" x14ac:dyDescent="0.2">
      <c r="B37" s="9" t="s">
        <v>56</v>
      </c>
      <c r="C37" s="14">
        <f>C15*1000000*0.72*150</f>
        <v>9072000000</v>
      </c>
      <c r="D37" s="4">
        <f>C37/0.65</f>
        <v>13956923076.923077</v>
      </c>
      <c r="G37" s="7" t="s">
        <v>15</v>
      </c>
      <c r="H37" s="10" t="s">
        <v>29</v>
      </c>
    </row>
    <row r="38" spans="2:11" x14ac:dyDescent="0.2">
      <c r="B38" t="s">
        <v>42</v>
      </c>
      <c r="C38" s="3">
        <f>C9*1200*1000</f>
        <v>6000000000</v>
      </c>
      <c r="D38" s="4">
        <f>C38/0.65</f>
        <v>9230769230.7692299</v>
      </c>
      <c r="G38" s="7" t="s">
        <v>11</v>
      </c>
      <c r="H38" t="s">
        <v>31</v>
      </c>
    </row>
    <row r="40" spans="2:11" x14ac:dyDescent="0.2">
      <c r="B40" t="s">
        <v>7</v>
      </c>
      <c r="C40" s="4">
        <f>C36+C38+C37</f>
        <v>17836800000</v>
      </c>
      <c r="D40" s="4">
        <f>D38+D37+D36</f>
        <v>27441230769.230766</v>
      </c>
      <c r="H40" s="5" t="s">
        <v>57</v>
      </c>
    </row>
    <row r="41" spans="2:11" x14ac:dyDescent="0.2">
      <c r="B41" t="s">
        <v>16</v>
      </c>
      <c r="C41" s="4">
        <f>C40/1000000</f>
        <v>17836.8</v>
      </c>
      <c r="D41" s="4">
        <f>C41/0.65</f>
        <v>27441.230769230766</v>
      </c>
      <c r="H41" t="s">
        <v>58</v>
      </c>
      <c r="I41" s="2">
        <f>1200*0.1</f>
        <v>120</v>
      </c>
      <c r="J41" s="15">
        <f>I41/0.65</f>
        <v>184.61538461538461</v>
      </c>
    </row>
    <row r="42" spans="2:11" x14ac:dyDescent="0.2">
      <c r="H42" t="s">
        <v>19</v>
      </c>
      <c r="I42" s="2">
        <v>10</v>
      </c>
      <c r="J42" s="15">
        <f t="shared" ref="J42:J43" si="1">I42/0.65</f>
        <v>15.384615384615383</v>
      </c>
    </row>
    <row r="43" spans="2:11" x14ac:dyDescent="0.2">
      <c r="B43" t="s">
        <v>43</v>
      </c>
      <c r="C43" s="4">
        <f>C40*0.08</f>
        <v>1426944000</v>
      </c>
      <c r="D43" s="4">
        <f>C43/0.65</f>
        <v>2195298461.5384617</v>
      </c>
      <c r="H43" t="s">
        <v>33</v>
      </c>
      <c r="I43" s="2">
        <f>I42+I41</f>
        <v>130</v>
      </c>
      <c r="J43" s="15">
        <f t="shared" si="1"/>
        <v>200</v>
      </c>
    </row>
    <row r="44" spans="2:11" x14ac:dyDescent="0.2">
      <c r="B44" t="s">
        <v>40</v>
      </c>
      <c r="C44" s="3">
        <f>C9*1000*5</f>
        <v>25000000</v>
      </c>
      <c r="D44" s="4">
        <f>C44/0.65</f>
        <v>38461538.461538464</v>
      </c>
      <c r="H44" t="s">
        <v>59</v>
      </c>
      <c r="I44">
        <f>8760*0.18</f>
        <v>1576.8</v>
      </c>
      <c r="J44" t="s">
        <v>34</v>
      </c>
    </row>
    <row r="45" spans="2:11" x14ac:dyDescent="0.2">
      <c r="B45" t="s">
        <v>9</v>
      </c>
      <c r="C45" s="4">
        <f>C44+C43</f>
        <v>1451944000</v>
      </c>
      <c r="D45" s="4">
        <f>C45/0.65</f>
        <v>2233760000</v>
      </c>
      <c r="H45" s="5" t="s">
        <v>21</v>
      </c>
      <c r="I45" s="11">
        <f>I43/I44</f>
        <v>8.2445459157787934E-2</v>
      </c>
      <c r="J45" s="6">
        <f>I45/0.65</f>
        <v>0.12683916793505837</v>
      </c>
      <c r="K45" s="5" t="s">
        <v>36</v>
      </c>
    </row>
    <row r="47" spans="2:11" x14ac:dyDescent="0.2">
      <c r="B47" s="5" t="s">
        <v>21</v>
      </c>
      <c r="C47" s="6">
        <f>C45/(C5*1000000)</f>
        <v>0.23678147423352902</v>
      </c>
      <c r="D47" s="6">
        <f>C47/0.65</f>
        <v>0.36427919112850615</v>
      </c>
    </row>
    <row r="49" spans="1:2" x14ac:dyDescent="0.2">
      <c r="A49">
        <v>1</v>
      </c>
      <c r="B49" t="s">
        <v>39</v>
      </c>
    </row>
    <row r="50" spans="1:2" x14ac:dyDescent="0.2">
      <c r="A50">
        <v>2</v>
      </c>
      <c r="B50" s="10" t="s">
        <v>39</v>
      </c>
    </row>
    <row r="51" spans="1:2" x14ac:dyDescent="0.2">
      <c r="A51">
        <v>3</v>
      </c>
      <c r="B51" s="10" t="s">
        <v>41</v>
      </c>
    </row>
  </sheetData>
  <hyperlinks>
    <hyperlink ref="H37" r:id="rId1" xr:uid="{19DACD15-CBE6-3643-A198-D57DF50A1DAB}"/>
    <hyperlink ref="B50" r:id="rId2" xr:uid="{34992F0F-B746-E846-B208-5DBAD1203088}"/>
    <hyperlink ref="B51" r:id="rId3" xr:uid="{229707B3-1C5E-D840-A2D5-866ADE0E17DD}"/>
  </hyperlink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A878F-2F03-D745-8608-6C94E9A1E3F3}">
  <sheetPr>
    <pageSetUpPr fitToPage="1"/>
  </sheetPr>
  <dimension ref="A1:K70"/>
  <sheetViews>
    <sheetView topLeftCell="A2" workbookViewId="0">
      <selection activeCell="A2" sqref="A1:XFD1048576"/>
    </sheetView>
  </sheetViews>
  <sheetFormatPr baseColWidth="10" defaultRowHeight="16" x14ac:dyDescent="0.2"/>
  <cols>
    <col min="1" max="1" width="5.1640625" customWidth="1"/>
    <col min="2" max="2" width="58.1640625" customWidth="1"/>
    <col min="3" max="3" width="19.1640625" customWidth="1"/>
    <col min="4" max="4" width="20.5" customWidth="1"/>
    <col min="5" max="5" width="17.6640625" customWidth="1"/>
    <col min="6" max="6" width="12.1640625" customWidth="1"/>
    <col min="7" max="7" width="4.5" customWidth="1"/>
    <col min="8" max="8" width="58.1640625" customWidth="1"/>
    <col min="9" max="9" width="19.83203125" customWidth="1"/>
    <col min="10" max="10" width="17.83203125" customWidth="1"/>
  </cols>
  <sheetData>
    <row r="1" spans="2:10" ht="21" x14ac:dyDescent="0.25">
      <c r="B1" s="13" t="s">
        <v>0</v>
      </c>
    </row>
    <row r="2" spans="2:10" x14ac:dyDescent="0.2">
      <c r="B2" s="5" t="s">
        <v>62</v>
      </c>
    </row>
    <row r="3" spans="2:10" x14ac:dyDescent="0.2">
      <c r="B3" s="5" t="s">
        <v>52</v>
      </c>
      <c r="H3" s="5" t="s">
        <v>53</v>
      </c>
    </row>
    <row r="4" spans="2:10" x14ac:dyDescent="0.2">
      <c r="E4" t="s">
        <v>74</v>
      </c>
    </row>
    <row r="5" spans="2:10" x14ac:dyDescent="0.2">
      <c r="B5" t="s">
        <v>48</v>
      </c>
      <c r="C5" s="16">
        <f>4000*8.76*0.55</f>
        <v>19272</v>
      </c>
      <c r="D5" t="s">
        <v>6</v>
      </c>
      <c r="H5" t="s">
        <v>48</v>
      </c>
      <c r="I5" s="16">
        <f>4000*8.76*0.55</f>
        <v>19272</v>
      </c>
      <c r="J5" t="s">
        <v>6</v>
      </c>
    </row>
    <row r="6" spans="2:10" x14ac:dyDescent="0.2">
      <c r="B6" t="s">
        <v>49</v>
      </c>
      <c r="C6" s="16">
        <f>C5/365</f>
        <v>52.8</v>
      </c>
      <c r="D6" t="s">
        <v>6</v>
      </c>
      <c r="E6" t="s">
        <v>76</v>
      </c>
      <c r="F6" s="18">
        <f>C11</f>
        <v>17500</v>
      </c>
      <c r="G6" t="s">
        <v>5</v>
      </c>
      <c r="H6" t="s">
        <v>49</v>
      </c>
      <c r="I6" s="16">
        <f>I5/365</f>
        <v>52.8</v>
      </c>
      <c r="J6" t="s">
        <v>6</v>
      </c>
    </row>
    <row r="7" spans="2:10" x14ac:dyDescent="0.2">
      <c r="B7" t="s">
        <v>63</v>
      </c>
      <c r="C7" s="16">
        <f>C5/0.15/8.76</f>
        <v>14666.666666666668</v>
      </c>
      <c r="D7" t="s">
        <v>64</v>
      </c>
      <c r="E7" t="s">
        <v>77</v>
      </c>
      <c r="F7" s="18">
        <f>C16</f>
        <v>23900</v>
      </c>
      <c r="G7" t="s">
        <v>5</v>
      </c>
      <c r="H7" t="s">
        <v>23</v>
      </c>
      <c r="I7" s="16">
        <f>I5/0.35/8.76</f>
        <v>6285.7142857142862</v>
      </c>
      <c r="J7" t="s">
        <v>66</v>
      </c>
    </row>
    <row r="8" spans="2:10" x14ac:dyDescent="0.2">
      <c r="B8" t="s">
        <v>79</v>
      </c>
      <c r="C8" s="16">
        <f>15000*0.8</f>
        <v>12000</v>
      </c>
      <c r="F8" s="18"/>
      <c r="I8" s="16"/>
    </row>
    <row r="9" spans="2:10" x14ac:dyDescent="0.2">
      <c r="B9" t="s">
        <v>67</v>
      </c>
      <c r="C9" s="16">
        <v>8000</v>
      </c>
      <c r="D9" t="s">
        <v>5</v>
      </c>
      <c r="E9" t="s">
        <v>78</v>
      </c>
      <c r="F9" s="18">
        <f>C14</f>
        <v>6400</v>
      </c>
      <c r="G9" t="s">
        <v>5</v>
      </c>
      <c r="H9" t="s">
        <v>67</v>
      </c>
      <c r="I9" s="16">
        <v>2500</v>
      </c>
      <c r="J9" t="s">
        <v>5</v>
      </c>
    </row>
    <row r="10" spans="2:10" x14ac:dyDescent="0.2">
      <c r="B10" t="s">
        <v>68</v>
      </c>
      <c r="C10" s="16">
        <f>C9*0.25/0.8</f>
        <v>2500</v>
      </c>
      <c r="D10" t="s">
        <v>5</v>
      </c>
      <c r="E10" s="17" t="s">
        <v>75</v>
      </c>
      <c r="F10">
        <v>4000</v>
      </c>
      <c r="G10" t="s">
        <v>5</v>
      </c>
      <c r="H10" t="s">
        <v>68</v>
      </c>
      <c r="I10" s="16">
        <f>I9*0.25</f>
        <v>625</v>
      </c>
      <c r="J10" t="s">
        <v>5</v>
      </c>
    </row>
    <row r="11" spans="2:10" x14ac:dyDescent="0.2">
      <c r="B11" t="s">
        <v>69</v>
      </c>
      <c r="C11" s="16">
        <f>15000+C10</f>
        <v>17500</v>
      </c>
      <c r="H11" t="s">
        <v>70</v>
      </c>
      <c r="I11" s="16">
        <f>6500+I10</f>
        <v>7125</v>
      </c>
    </row>
    <row r="12" spans="2:10" x14ac:dyDescent="0.2">
      <c r="B12" t="s">
        <v>50</v>
      </c>
      <c r="C12" s="16">
        <f>C11*0.15*8.76</f>
        <v>22995</v>
      </c>
      <c r="D12" t="s">
        <v>6</v>
      </c>
      <c r="E12" s="17" t="s">
        <v>75</v>
      </c>
      <c r="F12">
        <v>4000</v>
      </c>
      <c r="G12" t="s">
        <v>5</v>
      </c>
      <c r="H12" t="s">
        <v>50</v>
      </c>
      <c r="I12" s="16">
        <f>I11*0.35*8.76</f>
        <v>21845.25</v>
      </c>
      <c r="J12" t="s">
        <v>6</v>
      </c>
    </row>
    <row r="13" spans="2:10" x14ac:dyDescent="0.2">
      <c r="C13" s="16"/>
      <c r="I13" s="16"/>
    </row>
    <row r="14" spans="2:10" x14ac:dyDescent="0.2">
      <c r="B14" t="s">
        <v>65</v>
      </c>
      <c r="C14" s="16">
        <f>0.8*C9</f>
        <v>6400</v>
      </c>
      <c r="D14" t="s">
        <v>5</v>
      </c>
      <c r="E14" t="s">
        <v>78</v>
      </c>
      <c r="F14">
        <v>8800</v>
      </c>
      <c r="G14" t="s">
        <v>5</v>
      </c>
      <c r="H14" t="s">
        <v>71</v>
      </c>
      <c r="I14" s="16">
        <f>0.8*I9</f>
        <v>2000</v>
      </c>
      <c r="J14" t="s">
        <v>5</v>
      </c>
    </row>
    <row r="15" spans="2:10" x14ac:dyDescent="0.2">
      <c r="B15" t="s">
        <v>51</v>
      </c>
      <c r="C15" s="16">
        <f>C9*0.15*8.76</f>
        <v>10512</v>
      </c>
      <c r="D15" t="s">
        <v>26</v>
      </c>
      <c r="E15" t="s">
        <v>76</v>
      </c>
      <c r="F15">
        <v>17750</v>
      </c>
      <c r="G15" t="s">
        <v>5</v>
      </c>
      <c r="H15" t="s">
        <v>51</v>
      </c>
      <c r="I15" s="16">
        <f>I9*0.15*8.76</f>
        <v>3285</v>
      </c>
      <c r="J15" t="s">
        <v>1</v>
      </c>
    </row>
    <row r="16" spans="2:10" x14ac:dyDescent="0.2">
      <c r="B16" t="s">
        <v>73</v>
      </c>
      <c r="C16" s="16">
        <f>C11+C14</f>
        <v>23900</v>
      </c>
      <c r="I16" s="16"/>
    </row>
    <row r="17" spans="1:10" x14ac:dyDescent="0.2">
      <c r="B17" t="s">
        <v>27</v>
      </c>
      <c r="C17" s="16">
        <f>C6*5</f>
        <v>264</v>
      </c>
      <c r="D17" t="s">
        <v>6</v>
      </c>
      <c r="H17" t="s">
        <v>28</v>
      </c>
      <c r="I17" s="16">
        <f>I6*5</f>
        <v>264</v>
      </c>
      <c r="J17" t="s">
        <v>6</v>
      </c>
    </row>
    <row r="19" spans="1:10" s="5" customFormat="1" x14ac:dyDescent="0.2">
      <c r="B19" s="5" t="s">
        <v>22</v>
      </c>
      <c r="C19" s="12" t="s">
        <v>20</v>
      </c>
      <c r="D19" s="12" t="s">
        <v>44</v>
      </c>
      <c r="H19" s="5" t="s">
        <v>22</v>
      </c>
      <c r="I19" s="12" t="s">
        <v>20</v>
      </c>
      <c r="J19" s="12" t="s">
        <v>44</v>
      </c>
    </row>
    <row r="20" spans="1:10" x14ac:dyDescent="0.2">
      <c r="B20" t="s">
        <v>17</v>
      </c>
      <c r="C20" s="3">
        <f>C17*1000000*200</f>
        <v>52800000000</v>
      </c>
      <c r="D20" s="4">
        <f>C20/0.65</f>
        <v>81230769230.769226</v>
      </c>
      <c r="H20" t="s">
        <v>17</v>
      </c>
      <c r="I20" s="3">
        <f>I17*1000000*200</f>
        <v>52800000000</v>
      </c>
      <c r="J20" s="4">
        <f>I20/0.65</f>
        <v>81230769230.769226</v>
      </c>
    </row>
    <row r="21" spans="1:10" x14ac:dyDescent="0.2">
      <c r="B21" t="s">
        <v>18</v>
      </c>
      <c r="C21" s="3">
        <f>C11*1200*1000</f>
        <v>21000000000</v>
      </c>
      <c r="D21" s="4">
        <f>C21/0.65</f>
        <v>32307692307.692307</v>
      </c>
      <c r="E21" t="s">
        <v>77</v>
      </c>
      <c r="F21">
        <v>26550</v>
      </c>
      <c r="G21" t="s">
        <v>5</v>
      </c>
      <c r="H21" t="s">
        <v>30</v>
      </c>
      <c r="I21" s="3">
        <f>I11*1350*1000</f>
        <v>9618750000</v>
      </c>
      <c r="J21" s="4">
        <f>I21/0.65</f>
        <v>14798076923.076923</v>
      </c>
    </row>
    <row r="22" spans="1:10" x14ac:dyDescent="0.2">
      <c r="B22" t="s">
        <v>7</v>
      </c>
      <c r="C22" s="4">
        <f>C20+C21</f>
        <v>73800000000</v>
      </c>
      <c r="D22" s="4">
        <f>C22/0.65</f>
        <v>113538461538.46153</v>
      </c>
      <c r="H22" t="s">
        <v>7</v>
      </c>
      <c r="I22" s="4">
        <f>I20+I21</f>
        <v>62418750000</v>
      </c>
      <c r="J22" s="4">
        <f>I22/0.65</f>
        <v>96028846153.846146</v>
      </c>
    </row>
    <row r="23" spans="1:10" x14ac:dyDescent="0.2">
      <c r="B23" t="s">
        <v>16</v>
      </c>
      <c r="C23" s="4">
        <f>C22/4000000</f>
        <v>18450</v>
      </c>
      <c r="D23" s="4">
        <f>C23/0.65</f>
        <v>28384.615384615383</v>
      </c>
      <c r="H23" t="s">
        <v>16</v>
      </c>
      <c r="I23" s="4">
        <f>I22/4000000</f>
        <v>15604.6875</v>
      </c>
      <c r="J23" s="4">
        <f>I23/0.65</f>
        <v>24007.211538461539</v>
      </c>
    </row>
    <row r="25" spans="1:10" x14ac:dyDescent="0.2">
      <c r="B25" t="s">
        <v>8</v>
      </c>
      <c r="C25" s="4">
        <f>C22/10</f>
        <v>7380000000</v>
      </c>
      <c r="D25" s="4">
        <f>C25/0.65</f>
        <v>11353846153.846153</v>
      </c>
      <c r="H25" t="s">
        <v>8</v>
      </c>
      <c r="I25" s="4">
        <f>I22/10</f>
        <v>6241875000</v>
      </c>
      <c r="J25" s="4">
        <f>I25/0.65</f>
        <v>9602884615.3846149</v>
      </c>
    </row>
    <row r="26" spans="1:10" x14ac:dyDescent="0.2">
      <c r="B26" t="s">
        <v>19</v>
      </c>
      <c r="C26" s="3">
        <f>C11*1000*10</f>
        <v>175000000</v>
      </c>
      <c r="D26" s="4">
        <f>C26/0.65</f>
        <v>269230769.23076922</v>
      </c>
      <c r="H26" t="s">
        <v>32</v>
      </c>
      <c r="I26" s="3">
        <f>I11*1000*50</f>
        <v>356250000</v>
      </c>
      <c r="J26" s="4">
        <f>I26/0.65</f>
        <v>548076923.07692301</v>
      </c>
    </row>
    <row r="27" spans="1:10" x14ac:dyDescent="0.2">
      <c r="B27" t="s">
        <v>9</v>
      </c>
      <c r="C27" s="4">
        <f>C26+C25</f>
        <v>7555000000</v>
      </c>
      <c r="D27" s="4">
        <f>C27/0.65</f>
        <v>11623076923.076923</v>
      </c>
      <c r="H27" t="s">
        <v>9</v>
      </c>
      <c r="I27" s="4">
        <f>I26+I25</f>
        <v>6598125000</v>
      </c>
      <c r="J27" s="4">
        <f>I27/0.65</f>
        <v>10150961538.461538</v>
      </c>
    </row>
    <row r="29" spans="1:10" x14ac:dyDescent="0.2">
      <c r="B29" s="5" t="s">
        <v>21</v>
      </c>
      <c r="C29" s="6">
        <f>C27/(C5*1000000)</f>
        <v>0.3920195101701951</v>
      </c>
      <c r="D29" s="6">
        <f>C29/0.65</f>
        <v>0.60310693872337706</v>
      </c>
      <c r="H29" s="5" t="s">
        <v>21</v>
      </c>
      <c r="I29" s="6">
        <f>I27/(I5*1000000)</f>
        <v>0.34236846201743459</v>
      </c>
      <c r="J29" s="6">
        <f>I29/0.65</f>
        <v>0.5267207107960532</v>
      </c>
    </row>
    <row r="31" spans="1:10" x14ac:dyDescent="0.2">
      <c r="A31" s="7" t="s">
        <v>13</v>
      </c>
      <c r="B31" s="8" t="s">
        <v>12</v>
      </c>
      <c r="H31" s="5" t="s">
        <v>35</v>
      </c>
    </row>
    <row r="32" spans="1:10" x14ac:dyDescent="0.2">
      <c r="A32" s="7" t="s">
        <v>15</v>
      </c>
      <c r="B32" s="8" t="s">
        <v>14</v>
      </c>
      <c r="H32" t="s">
        <v>37</v>
      </c>
      <c r="I32" s="2">
        <f>1350*0.1</f>
        <v>135</v>
      </c>
      <c r="J32" s="15">
        <f>I32/0.65</f>
        <v>207.69230769230768</v>
      </c>
    </row>
    <row r="33" spans="1:11" x14ac:dyDescent="0.2">
      <c r="A33" s="7" t="s">
        <v>11</v>
      </c>
      <c r="B33" t="s">
        <v>10</v>
      </c>
      <c r="H33" t="s">
        <v>32</v>
      </c>
      <c r="I33" s="2">
        <v>50</v>
      </c>
      <c r="J33" s="15">
        <f t="shared" ref="J33:J34" si="0">I33/0.65</f>
        <v>76.92307692307692</v>
      </c>
    </row>
    <row r="34" spans="1:11" x14ac:dyDescent="0.2">
      <c r="H34" t="s">
        <v>33</v>
      </c>
      <c r="I34" s="2">
        <f>I33+I32</f>
        <v>185</v>
      </c>
      <c r="J34" s="15">
        <f t="shared" si="0"/>
        <v>284.61538461538458</v>
      </c>
    </row>
    <row r="35" spans="1:11" x14ac:dyDescent="0.2">
      <c r="H35" t="s">
        <v>38</v>
      </c>
      <c r="I35">
        <f>8760*0.35</f>
        <v>3066</v>
      </c>
      <c r="J35" t="s">
        <v>34</v>
      </c>
    </row>
    <row r="36" spans="1:11" x14ac:dyDescent="0.2">
      <c r="B36" s="5" t="s">
        <v>54</v>
      </c>
      <c r="H36" s="5" t="s">
        <v>21</v>
      </c>
      <c r="I36" s="11">
        <f>I34/I35</f>
        <v>6.033920417482061E-2</v>
      </c>
      <c r="J36" s="6">
        <f>I36/0.65</f>
        <v>9.2829544884339393E-2</v>
      </c>
      <c r="K36" s="5" t="s">
        <v>36</v>
      </c>
    </row>
    <row r="37" spans="1:11" x14ac:dyDescent="0.2">
      <c r="B37" s="5" t="s">
        <v>22</v>
      </c>
      <c r="C37" s="12" t="s">
        <v>20</v>
      </c>
      <c r="D37" s="12" t="s">
        <v>44</v>
      </c>
    </row>
    <row r="38" spans="1:11" x14ac:dyDescent="0.2">
      <c r="B38" t="s">
        <v>55</v>
      </c>
      <c r="C38" s="3">
        <f>C14*1000*1200*0.72</f>
        <v>5529600000</v>
      </c>
      <c r="D38" s="4">
        <f>C38/0.65</f>
        <v>8507076923.0769224</v>
      </c>
      <c r="G38" s="7" t="s">
        <v>13</v>
      </c>
      <c r="H38" s="8" t="s">
        <v>12</v>
      </c>
    </row>
    <row r="39" spans="1:11" x14ac:dyDescent="0.2">
      <c r="B39" s="9" t="s">
        <v>56</v>
      </c>
      <c r="C39" s="14">
        <f>C17*1000000*0.72*150</f>
        <v>28512000000</v>
      </c>
      <c r="D39" s="4">
        <f>C39/0.65</f>
        <v>43864615384.615379</v>
      </c>
      <c r="G39" s="7" t="s">
        <v>15</v>
      </c>
      <c r="H39" s="10" t="s">
        <v>29</v>
      </c>
    </row>
    <row r="40" spans="1:11" x14ac:dyDescent="0.2">
      <c r="B40" t="s">
        <v>42</v>
      </c>
      <c r="C40" s="3">
        <f>C11*1200*1000</f>
        <v>21000000000</v>
      </c>
      <c r="D40" s="4">
        <f>C40/0.65</f>
        <v>32307692307.692307</v>
      </c>
      <c r="G40" s="7" t="s">
        <v>11</v>
      </c>
      <c r="H40" t="s">
        <v>31</v>
      </c>
    </row>
    <row r="42" spans="1:11" x14ac:dyDescent="0.2">
      <c r="B42" t="s">
        <v>7</v>
      </c>
      <c r="C42" s="4">
        <f>C38+C40+C39</f>
        <v>55041600000</v>
      </c>
      <c r="D42" s="4">
        <f>D40+D39+D38</f>
        <v>84679384615.384598</v>
      </c>
      <c r="H42" s="5" t="s">
        <v>57</v>
      </c>
    </row>
    <row r="43" spans="1:11" x14ac:dyDescent="0.2">
      <c r="B43" t="s">
        <v>16</v>
      </c>
      <c r="C43" s="4">
        <f>C42/4000000</f>
        <v>13760.4</v>
      </c>
      <c r="D43" s="4">
        <f>C43/0.65</f>
        <v>21169.846153846152</v>
      </c>
      <c r="H43" t="s">
        <v>58</v>
      </c>
      <c r="I43" s="2">
        <f>1200*0.1</f>
        <v>120</v>
      </c>
      <c r="J43" s="15">
        <f>I43/0.65</f>
        <v>184.61538461538461</v>
      </c>
    </row>
    <row r="44" spans="1:11" x14ac:dyDescent="0.2">
      <c r="H44" t="s">
        <v>19</v>
      </c>
      <c r="I44" s="2">
        <v>10</v>
      </c>
      <c r="J44" s="15">
        <f t="shared" ref="J44:J45" si="1">I44/0.65</f>
        <v>15.384615384615383</v>
      </c>
    </row>
    <row r="45" spans="1:11" x14ac:dyDescent="0.2">
      <c r="B45" t="s">
        <v>43</v>
      </c>
      <c r="C45" s="4">
        <f>C42*0.08</f>
        <v>4403328000</v>
      </c>
      <c r="D45" s="4">
        <f>C45/0.65</f>
        <v>6774350769.2307692</v>
      </c>
      <c r="H45" t="s">
        <v>33</v>
      </c>
      <c r="I45" s="2">
        <f>I44+I43</f>
        <v>130</v>
      </c>
      <c r="J45" s="15">
        <f t="shared" si="1"/>
        <v>200</v>
      </c>
    </row>
    <row r="46" spans="1:11" x14ac:dyDescent="0.2">
      <c r="B46" t="s">
        <v>40</v>
      </c>
      <c r="C46" s="3">
        <f>C11*1000*5</f>
        <v>87500000</v>
      </c>
      <c r="D46" s="4">
        <f>C46/0.65</f>
        <v>134615384.61538461</v>
      </c>
      <c r="H46" t="s">
        <v>72</v>
      </c>
      <c r="I46">
        <f>8760*0.15</f>
        <v>1314</v>
      </c>
      <c r="J46" t="s">
        <v>34</v>
      </c>
    </row>
    <row r="47" spans="1:11" x14ac:dyDescent="0.2">
      <c r="B47" t="s">
        <v>9</v>
      </c>
      <c r="C47" s="4">
        <f>C46+C45</f>
        <v>4490828000</v>
      </c>
      <c r="D47" s="4">
        <f>C47/0.65</f>
        <v>6908966153.8461533</v>
      </c>
      <c r="H47" s="5" t="s">
        <v>21</v>
      </c>
      <c r="I47" s="11">
        <f>I45/I46</f>
        <v>9.8934550989345504E-2</v>
      </c>
      <c r="J47" s="6">
        <f>I47/0.65</f>
        <v>0.15220700152207001</v>
      </c>
      <c r="K47" s="5" t="s">
        <v>36</v>
      </c>
    </row>
    <row r="49" spans="1:4" x14ac:dyDescent="0.2">
      <c r="B49" s="5" t="s">
        <v>21</v>
      </c>
      <c r="C49" s="6">
        <f>C47/(C5*1000000)</f>
        <v>0.23302345371523453</v>
      </c>
      <c r="D49" s="6">
        <f>C49/0.65</f>
        <v>0.35849762110036082</v>
      </c>
    </row>
    <row r="51" spans="1:4" x14ac:dyDescent="0.2">
      <c r="A51">
        <v>1</v>
      </c>
      <c r="B51" t="s">
        <v>39</v>
      </c>
    </row>
    <row r="52" spans="1:4" x14ac:dyDescent="0.2">
      <c r="A52">
        <v>2</v>
      </c>
      <c r="B52" s="10" t="s">
        <v>39</v>
      </c>
    </row>
    <row r="53" spans="1:4" x14ac:dyDescent="0.2">
      <c r="A53">
        <v>3</v>
      </c>
      <c r="B53" s="10" t="s">
        <v>41</v>
      </c>
    </row>
    <row r="66" spans="3:4" x14ac:dyDescent="0.2">
      <c r="C66">
        <v>17500</v>
      </c>
      <c r="D66" t="s">
        <v>80</v>
      </c>
    </row>
    <row r="67" spans="3:4" x14ac:dyDescent="0.2">
      <c r="C67">
        <f>C66*0.8</f>
        <v>14000</v>
      </c>
      <c r="D67" t="s">
        <v>81</v>
      </c>
    </row>
    <row r="68" spans="3:4" x14ac:dyDescent="0.2">
      <c r="C68">
        <f>C67-4000</f>
        <v>10000</v>
      </c>
      <c r="D68" t="s">
        <v>82</v>
      </c>
    </row>
    <row r="69" spans="3:4" x14ac:dyDescent="0.2">
      <c r="C69">
        <f>C68*0.25</f>
        <v>2500</v>
      </c>
      <c r="D69" t="s">
        <v>83</v>
      </c>
    </row>
    <row r="70" spans="3:4" x14ac:dyDescent="0.2">
      <c r="C70">
        <f>C68*0.75</f>
        <v>7500</v>
      </c>
      <c r="D70" t="s">
        <v>84</v>
      </c>
    </row>
  </sheetData>
  <hyperlinks>
    <hyperlink ref="H39" r:id="rId1" xr:uid="{30217045-6038-FE49-AB35-6F8CF68019AD}"/>
    <hyperlink ref="B52" r:id="rId2" xr:uid="{B827CB69-2DDD-F74E-AF21-FC563646CCFA}"/>
    <hyperlink ref="B53" r:id="rId3" xr:uid="{AB24A651-B454-494F-A846-DC3029D1CC4D}"/>
  </hyperlinks>
  <pageMargins left="0.25" right="0.25" top="0.75" bottom="0.75" header="0.3" footer="0.3"/>
  <pageSetup paperSize="9" scale="46" orientation="landscape" horizontalDpi="0" verticalDpi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A6A2C-CCF0-B045-A4D4-C68E169E286D}">
  <dimension ref="A1:K72"/>
  <sheetViews>
    <sheetView tabSelected="1" workbookViewId="0">
      <selection activeCell="C18" sqref="C18"/>
    </sheetView>
  </sheetViews>
  <sheetFormatPr baseColWidth="10" defaultRowHeight="16" x14ac:dyDescent="0.2"/>
  <cols>
    <col min="1" max="1" width="5.1640625" customWidth="1"/>
    <col min="2" max="2" width="58.1640625" customWidth="1"/>
    <col min="3" max="3" width="19.1640625" customWidth="1"/>
    <col min="4" max="4" width="20.5" customWidth="1"/>
    <col min="5" max="5" width="17.6640625" customWidth="1"/>
    <col min="6" max="6" width="12.1640625" customWidth="1"/>
    <col min="7" max="7" width="4.5" customWidth="1"/>
    <col min="8" max="8" width="58.1640625" customWidth="1"/>
    <col min="9" max="9" width="19.83203125" customWidth="1"/>
    <col min="10" max="10" width="17.83203125" customWidth="1"/>
  </cols>
  <sheetData>
    <row r="1" spans="2:10" ht="21" x14ac:dyDescent="0.25">
      <c r="B1" s="13" t="s">
        <v>0</v>
      </c>
    </row>
    <row r="2" spans="2:10" x14ac:dyDescent="0.2">
      <c r="B2" s="5" t="s">
        <v>62</v>
      </c>
    </row>
    <row r="3" spans="2:10" x14ac:dyDescent="0.2">
      <c r="B3" s="5" t="s">
        <v>52</v>
      </c>
      <c r="H3" s="5" t="s">
        <v>53</v>
      </c>
    </row>
    <row r="4" spans="2:10" x14ac:dyDescent="0.2">
      <c r="E4" t="s">
        <v>74</v>
      </c>
    </row>
    <row r="5" spans="2:10" x14ac:dyDescent="0.2">
      <c r="B5" t="s">
        <v>48</v>
      </c>
      <c r="C5" s="16">
        <f>4000*8.76*0.55</f>
        <v>19272</v>
      </c>
      <c r="D5" t="s">
        <v>6</v>
      </c>
      <c r="H5" t="s">
        <v>48</v>
      </c>
      <c r="I5" s="16">
        <f>4000*8.76*0.55</f>
        <v>19272</v>
      </c>
      <c r="J5" t="s">
        <v>6</v>
      </c>
    </row>
    <row r="6" spans="2:10" x14ac:dyDescent="0.2">
      <c r="B6" t="s">
        <v>49</v>
      </c>
      <c r="C6" s="16">
        <f>C5/365</f>
        <v>52.8</v>
      </c>
      <c r="D6" t="s">
        <v>6</v>
      </c>
      <c r="E6" t="s">
        <v>76</v>
      </c>
      <c r="F6" s="18">
        <f>C13</f>
        <v>17083.333333333336</v>
      </c>
      <c r="G6" t="s">
        <v>5</v>
      </c>
      <c r="H6" t="s">
        <v>49</v>
      </c>
      <c r="I6" s="16">
        <f>I5/365</f>
        <v>52.8</v>
      </c>
      <c r="J6" t="s">
        <v>6</v>
      </c>
    </row>
    <row r="7" spans="2:10" x14ac:dyDescent="0.2">
      <c r="B7" t="s">
        <v>63</v>
      </c>
      <c r="C7" s="16">
        <f>C5/0.15/8.76</f>
        <v>14666.666666666668</v>
      </c>
      <c r="D7" t="s">
        <v>64</v>
      </c>
      <c r="E7" t="s">
        <v>77</v>
      </c>
      <c r="F7" s="18">
        <f>C18</f>
        <v>26750.000000000007</v>
      </c>
      <c r="G7" t="s">
        <v>5</v>
      </c>
      <c r="H7" t="s">
        <v>23</v>
      </c>
      <c r="I7" s="16">
        <f>I5/0.35/8.76</f>
        <v>6285.7142857142862</v>
      </c>
      <c r="J7" t="s">
        <v>66</v>
      </c>
    </row>
    <row r="8" spans="2:10" x14ac:dyDescent="0.2">
      <c r="B8" t="s">
        <v>85</v>
      </c>
      <c r="C8" s="16">
        <f>(C7-5000)*0.25</f>
        <v>2416.666666666667</v>
      </c>
      <c r="F8" s="18"/>
      <c r="I8" s="16"/>
    </row>
    <row r="9" spans="2:10" x14ac:dyDescent="0.2">
      <c r="B9" t="s">
        <v>69</v>
      </c>
      <c r="C9" s="16">
        <f>C7+C8</f>
        <v>17083.333333333336</v>
      </c>
      <c r="F9" s="18"/>
      <c r="I9" s="16"/>
    </row>
    <row r="10" spans="2:10" x14ac:dyDescent="0.2">
      <c r="B10" t="s">
        <v>79</v>
      </c>
      <c r="C10" s="16">
        <f>C9*0.8</f>
        <v>13666.66666666667</v>
      </c>
      <c r="F10" s="18"/>
      <c r="I10" s="16"/>
    </row>
    <row r="11" spans="2:10" x14ac:dyDescent="0.2">
      <c r="B11" t="s">
        <v>67</v>
      </c>
      <c r="C11" s="16">
        <f>C10-4000</f>
        <v>9666.6666666666697</v>
      </c>
      <c r="D11" t="s">
        <v>5</v>
      </c>
      <c r="E11" t="s">
        <v>78</v>
      </c>
      <c r="F11" s="18">
        <f>C16</f>
        <v>9666.6666666666697</v>
      </c>
      <c r="G11" t="s">
        <v>5</v>
      </c>
      <c r="H11" t="s">
        <v>67</v>
      </c>
      <c r="I11" s="16">
        <v>2500</v>
      </c>
      <c r="J11" t="s">
        <v>5</v>
      </c>
    </row>
    <row r="12" spans="2:10" x14ac:dyDescent="0.2">
      <c r="B12" t="s">
        <v>68</v>
      </c>
      <c r="C12" s="16"/>
      <c r="D12" t="s">
        <v>5</v>
      </c>
      <c r="E12" s="17" t="s">
        <v>75</v>
      </c>
      <c r="F12">
        <v>4000</v>
      </c>
      <c r="G12" t="s">
        <v>5</v>
      </c>
      <c r="H12" t="s">
        <v>68</v>
      </c>
      <c r="I12" s="16">
        <f>I11*0.25</f>
        <v>625</v>
      </c>
      <c r="J12" t="s">
        <v>5</v>
      </c>
    </row>
    <row r="13" spans="2:10" x14ac:dyDescent="0.2">
      <c r="B13" t="s">
        <v>69</v>
      </c>
      <c r="C13" s="16">
        <f>C9</f>
        <v>17083.333333333336</v>
      </c>
      <c r="H13" t="s">
        <v>70</v>
      </c>
      <c r="I13" s="16">
        <f>6500+I12</f>
        <v>7125</v>
      </c>
    </row>
    <row r="14" spans="2:10" x14ac:dyDescent="0.2">
      <c r="B14" t="s">
        <v>50</v>
      </c>
      <c r="C14" s="16">
        <f>C13*0.15*8.76</f>
        <v>22447.500000000004</v>
      </c>
      <c r="D14" t="s">
        <v>6</v>
      </c>
      <c r="E14" s="17" t="s">
        <v>75</v>
      </c>
      <c r="F14">
        <v>4000</v>
      </c>
      <c r="G14" t="s">
        <v>5</v>
      </c>
      <c r="H14" t="s">
        <v>50</v>
      </c>
      <c r="I14" s="16">
        <f>I13*0.35*8.76</f>
        <v>21845.25</v>
      </c>
      <c r="J14" t="s">
        <v>6</v>
      </c>
    </row>
    <row r="15" spans="2:10" x14ac:dyDescent="0.2">
      <c r="C15" s="16"/>
      <c r="I15" s="16"/>
    </row>
    <row r="16" spans="2:10" x14ac:dyDescent="0.2">
      <c r="B16" t="s">
        <v>65</v>
      </c>
      <c r="C16" s="16">
        <f>C11</f>
        <v>9666.6666666666697</v>
      </c>
      <c r="D16" t="s">
        <v>5</v>
      </c>
      <c r="E16" t="s">
        <v>78</v>
      </c>
      <c r="F16">
        <v>8800</v>
      </c>
      <c r="G16" t="s">
        <v>5</v>
      </c>
      <c r="H16" t="s">
        <v>71</v>
      </c>
      <c r="I16" s="16">
        <f>0.8*I11</f>
        <v>2000</v>
      </c>
      <c r="J16" t="s">
        <v>5</v>
      </c>
    </row>
    <row r="17" spans="2:10" x14ac:dyDescent="0.2">
      <c r="B17" t="s">
        <v>51</v>
      </c>
      <c r="C17" s="16">
        <f>C11*0.15*8.76</f>
        <v>12702.000000000004</v>
      </c>
      <c r="D17" t="s">
        <v>26</v>
      </c>
      <c r="E17" t="s">
        <v>76</v>
      </c>
      <c r="F17">
        <v>17750</v>
      </c>
      <c r="G17" t="s">
        <v>5</v>
      </c>
      <c r="H17" t="s">
        <v>51</v>
      </c>
      <c r="I17" s="16">
        <f>I11*0.15*8.76</f>
        <v>3285</v>
      </c>
      <c r="J17" t="s">
        <v>1</v>
      </c>
    </row>
    <row r="18" spans="2:10" x14ac:dyDescent="0.2">
      <c r="B18" t="s">
        <v>73</v>
      </c>
      <c r="C18" s="16">
        <f>C13+C16</f>
        <v>26750.000000000007</v>
      </c>
      <c r="I18" s="16"/>
    </row>
    <row r="19" spans="2:10" x14ac:dyDescent="0.2">
      <c r="B19" t="s">
        <v>27</v>
      </c>
      <c r="C19" s="16">
        <f>C6*5</f>
        <v>264</v>
      </c>
      <c r="D19" t="s">
        <v>6</v>
      </c>
      <c r="H19" t="s">
        <v>28</v>
      </c>
      <c r="I19" s="16">
        <f>I6*5</f>
        <v>264</v>
      </c>
      <c r="J19" t="s">
        <v>6</v>
      </c>
    </row>
    <row r="21" spans="2:10" s="5" customFormat="1" x14ac:dyDescent="0.2">
      <c r="B21" s="5" t="s">
        <v>22</v>
      </c>
      <c r="C21" s="12" t="s">
        <v>20</v>
      </c>
      <c r="D21" s="12" t="s">
        <v>44</v>
      </c>
      <c r="H21" s="5" t="s">
        <v>22</v>
      </c>
      <c r="I21" s="12" t="s">
        <v>20</v>
      </c>
      <c r="J21" s="12" t="s">
        <v>44</v>
      </c>
    </row>
    <row r="22" spans="2:10" x14ac:dyDescent="0.2">
      <c r="B22" t="s">
        <v>17</v>
      </c>
      <c r="C22" s="3">
        <f>C19*1000000*200</f>
        <v>52800000000</v>
      </c>
      <c r="D22" s="4">
        <f>C22/0.65</f>
        <v>81230769230.769226</v>
      </c>
      <c r="H22" t="s">
        <v>17</v>
      </c>
      <c r="I22" s="3">
        <f>I19*1000000*200</f>
        <v>52800000000</v>
      </c>
      <c r="J22" s="4">
        <f>I22/0.65</f>
        <v>81230769230.769226</v>
      </c>
    </row>
    <row r="23" spans="2:10" x14ac:dyDescent="0.2">
      <c r="B23" t="s">
        <v>18</v>
      </c>
      <c r="C23" s="3">
        <f>C13*1200*1000</f>
        <v>20500000000.000004</v>
      </c>
      <c r="D23" s="4">
        <f>C23/0.65</f>
        <v>31538461538.461544</v>
      </c>
      <c r="E23" t="s">
        <v>77</v>
      </c>
      <c r="F23">
        <v>26550</v>
      </c>
      <c r="G23" t="s">
        <v>5</v>
      </c>
      <c r="H23" t="s">
        <v>30</v>
      </c>
      <c r="I23" s="3">
        <f>I13*1350*1000</f>
        <v>9618750000</v>
      </c>
      <c r="J23" s="4">
        <f>I23/0.65</f>
        <v>14798076923.076923</v>
      </c>
    </row>
    <row r="24" spans="2:10" x14ac:dyDescent="0.2">
      <c r="B24" t="s">
        <v>7</v>
      </c>
      <c r="C24" s="4">
        <f>C22+C23</f>
        <v>73300000000</v>
      </c>
      <c r="D24" s="4">
        <f>C24/0.65</f>
        <v>112769230769.23076</v>
      </c>
      <c r="H24" t="s">
        <v>7</v>
      </c>
      <c r="I24" s="4">
        <f>I22+I23</f>
        <v>62418750000</v>
      </c>
      <c r="J24" s="4">
        <f>I24/0.65</f>
        <v>96028846153.846146</v>
      </c>
    </row>
    <row r="25" spans="2:10" x14ac:dyDescent="0.2">
      <c r="B25" t="s">
        <v>16</v>
      </c>
      <c r="C25" s="4">
        <f>C24/4000000</f>
        <v>18325</v>
      </c>
      <c r="D25" s="4">
        <f>C25/0.65</f>
        <v>28192.307692307691</v>
      </c>
      <c r="H25" t="s">
        <v>16</v>
      </c>
      <c r="I25" s="4">
        <f>I24/4000000</f>
        <v>15604.6875</v>
      </c>
      <c r="J25" s="4">
        <f>I25/0.65</f>
        <v>24007.211538461539</v>
      </c>
    </row>
    <row r="27" spans="2:10" x14ac:dyDescent="0.2">
      <c r="B27" t="s">
        <v>8</v>
      </c>
      <c r="C27" s="4">
        <f>C24/10</f>
        <v>7330000000</v>
      </c>
      <c r="D27" s="4">
        <f>C27/0.65</f>
        <v>11276923076.923077</v>
      </c>
      <c r="H27" t="s">
        <v>8</v>
      </c>
      <c r="I27" s="4">
        <f>I24/10</f>
        <v>6241875000</v>
      </c>
      <c r="J27" s="4">
        <f>I27/0.65</f>
        <v>9602884615.3846149</v>
      </c>
    </row>
    <row r="28" spans="2:10" x14ac:dyDescent="0.2">
      <c r="B28" t="s">
        <v>19</v>
      </c>
      <c r="C28" s="3">
        <f>C13*1000*10</f>
        <v>170833333.33333337</v>
      </c>
      <c r="D28" s="4">
        <f>C28/0.65</f>
        <v>262820512.82051286</v>
      </c>
      <c r="H28" t="s">
        <v>32</v>
      </c>
      <c r="I28" s="3">
        <f>I13*1000*50</f>
        <v>356250000</v>
      </c>
      <c r="J28" s="4">
        <f>I28/0.65</f>
        <v>548076923.07692301</v>
      </c>
    </row>
    <row r="29" spans="2:10" x14ac:dyDescent="0.2">
      <c r="B29" t="s">
        <v>9</v>
      </c>
      <c r="C29" s="4">
        <f>C28+C27</f>
        <v>7500833333.333333</v>
      </c>
      <c r="D29" s="4">
        <f>C29/0.65</f>
        <v>11539743589.743589</v>
      </c>
      <c r="H29" t="s">
        <v>9</v>
      </c>
      <c r="I29" s="4">
        <f>I28+I27</f>
        <v>6598125000</v>
      </c>
      <c r="J29" s="4">
        <f>I29/0.65</f>
        <v>10150961538.461538</v>
      </c>
    </row>
    <row r="31" spans="2:10" x14ac:dyDescent="0.2">
      <c r="B31" s="5" t="s">
        <v>21</v>
      </c>
      <c r="C31" s="6">
        <f>C29/(C5*1000000)</f>
        <v>0.38920886951708866</v>
      </c>
      <c r="D31" s="6">
        <f>C31/0.65</f>
        <v>0.59878287618013637</v>
      </c>
      <c r="H31" s="5" t="s">
        <v>21</v>
      </c>
      <c r="I31" s="6">
        <f>I29/(I5*1000000)</f>
        <v>0.34236846201743459</v>
      </c>
      <c r="J31" s="6">
        <f>I31/0.65</f>
        <v>0.5267207107960532</v>
      </c>
    </row>
    <row r="33" spans="1:11" x14ac:dyDescent="0.2">
      <c r="A33" s="7" t="s">
        <v>13</v>
      </c>
      <c r="B33" s="8" t="s">
        <v>12</v>
      </c>
      <c r="H33" s="5" t="s">
        <v>35</v>
      </c>
    </row>
    <row r="34" spans="1:11" x14ac:dyDescent="0.2">
      <c r="A34" s="7" t="s">
        <v>15</v>
      </c>
      <c r="B34" s="8" t="s">
        <v>14</v>
      </c>
      <c r="H34" t="s">
        <v>37</v>
      </c>
      <c r="I34" s="2">
        <f>1350*0.1</f>
        <v>135</v>
      </c>
      <c r="J34" s="15">
        <f>I34/0.65</f>
        <v>207.69230769230768</v>
      </c>
    </row>
    <row r="35" spans="1:11" x14ac:dyDescent="0.2">
      <c r="A35" s="7" t="s">
        <v>11</v>
      </c>
      <c r="B35" t="s">
        <v>10</v>
      </c>
      <c r="H35" t="s">
        <v>32</v>
      </c>
      <c r="I35" s="2">
        <v>50</v>
      </c>
      <c r="J35" s="15">
        <f t="shared" ref="J35:J36" si="0">I35/0.65</f>
        <v>76.92307692307692</v>
      </c>
    </row>
    <row r="36" spans="1:11" x14ac:dyDescent="0.2">
      <c r="H36" t="s">
        <v>33</v>
      </c>
      <c r="I36" s="2">
        <f>I35+I34</f>
        <v>185</v>
      </c>
      <c r="J36" s="15">
        <f t="shared" si="0"/>
        <v>284.61538461538458</v>
      </c>
    </row>
    <row r="37" spans="1:11" x14ac:dyDescent="0.2">
      <c r="H37" t="s">
        <v>38</v>
      </c>
      <c r="I37">
        <f>8760*0.35</f>
        <v>3066</v>
      </c>
      <c r="J37" t="s">
        <v>34</v>
      </c>
    </row>
    <row r="38" spans="1:11" x14ac:dyDescent="0.2">
      <c r="B38" s="5" t="s">
        <v>54</v>
      </c>
      <c r="H38" s="5" t="s">
        <v>21</v>
      </c>
      <c r="I38" s="11">
        <f>I36/I37</f>
        <v>6.033920417482061E-2</v>
      </c>
      <c r="J38" s="6">
        <f>I38/0.65</f>
        <v>9.2829544884339393E-2</v>
      </c>
      <c r="K38" s="5" t="s">
        <v>36</v>
      </c>
    </row>
    <row r="39" spans="1:11" x14ac:dyDescent="0.2">
      <c r="B39" s="5" t="s">
        <v>22</v>
      </c>
      <c r="C39" s="12" t="s">
        <v>20</v>
      </c>
      <c r="D39" s="12" t="s">
        <v>44</v>
      </c>
    </row>
    <row r="40" spans="1:11" x14ac:dyDescent="0.2">
      <c r="B40" t="s">
        <v>55</v>
      </c>
      <c r="C40" s="3">
        <f>C16*1000*1200*0.72</f>
        <v>8352000000.0000029</v>
      </c>
      <c r="D40" s="4">
        <f>C40/0.65</f>
        <v>12849230769.230774</v>
      </c>
      <c r="G40" s="7" t="s">
        <v>13</v>
      </c>
      <c r="H40" s="8" t="s">
        <v>12</v>
      </c>
    </row>
    <row r="41" spans="1:11" x14ac:dyDescent="0.2">
      <c r="B41" s="9" t="s">
        <v>56</v>
      </c>
      <c r="C41" s="14">
        <f>C19*1000000*0.72*150</f>
        <v>28512000000</v>
      </c>
      <c r="D41" s="4">
        <f>C41/0.65</f>
        <v>43864615384.615379</v>
      </c>
      <c r="G41" s="7" t="s">
        <v>15</v>
      </c>
      <c r="H41" s="10" t="s">
        <v>29</v>
      </c>
    </row>
    <row r="42" spans="1:11" x14ac:dyDescent="0.2">
      <c r="B42" t="s">
        <v>42</v>
      </c>
      <c r="C42" s="3">
        <f>C13*1200*1000</f>
        <v>20500000000.000004</v>
      </c>
      <c r="D42" s="4">
        <f>C42/0.65</f>
        <v>31538461538.461544</v>
      </c>
      <c r="G42" s="7" t="s">
        <v>11</v>
      </c>
      <c r="H42" t="s">
        <v>31</v>
      </c>
    </row>
    <row r="44" spans="1:11" x14ac:dyDescent="0.2">
      <c r="B44" t="s">
        <v>7</v>
      </c>
      <c r="C44" s="4">
        <f>C40+C42+C41</f>
        <v>57364000000.000008</v>
      </c>
      <c r="D44" s="4">
        <f>D42+D41+D40</f>
        <v>88252307692.307693</v>
      </c>
      <c r="H44" s="5" t="s">
        <v>57</v>
      </c>
    </row>
    <row r="45" spans="1:11" x14ac:dyDescent="0.2">
      <c r="B45" t="s">
        <v>16</v>
      </c>
      <c r="C45" s="4">
        <f>C44/4000000</f>
        <v>14341.000000000002</v>
      </c>
      <c r="D45" s="4">
        <f>C45/0.65</f>
        <v>22063.076923076926</v>
      </c>
      <c r="H45" t="s">
        <v>58</v>
      </c>
      <c r="I45" s="2">
        <f>1200*0.1</f>
        <v>120</v>
      </c>
      <c r="J45" s="15">
        <f>I45/0.65</f>
        <v>184.61538461538461</v>
      </c>
    </row>
    <row r="46" spans="1:11" x14ac:dyDescent="0.2">
      <c r="H46" t="s">
        <v>19</v>
      </c>
      <c r="I46" s="2">
        <v>10</v>
      </c>
      <c r="J46" s="15">
        <f t="shared" ref="J46:J47" si="1">I46/0.65</f>
        <v>15.384615384615383</v>
      </c>
    </row>
    <row r="47" spans="1:11" x14ac:dyDescent="0.2">
      <c r="B47" t="s">
        <v>43</v>
      </c>
      <c r="C47" s="4">
        <f>C44*0.08</f>
        <v>4589120000.000001</v>
      </c>
      <c r="D47" s="4">
        <f>C47/0.65</f>
        <v>7060184615.3846169</v>
      </c>
      <c r="H47" t="s">
        <v>33</v>
      </c>
      <c r="I47" s="2">
        <f>I46+I45</f>
        <v>130</v>
      </c>
      <c r="J47" s="15">
        <f t="shared" si="1"/>
        <v>200</v>
      </c>
    </row>
    <row r="48" spans="1:11" x14ac:dyDescent="0.2">
      <c r="B48" t="s">
        <v>40</v>
      </c>
      <c r="C48" s="3">
        <f>C13*1000*5</f>
        <v>85416666.666666687</v>
      </c>
      <c r="D48" s="4">
        <f>C48/0.65</f>
        <v>131410256.41025643</v>
      </c>
      <c r="H48" t="s">
        <v>72</v>
      </c>
      <c r="I48">
        <f>8760*0.15</f>
        <v>1314</v>
      </c>
      <c r="J48" t="s">
        <v>34</v>
      </c>
    </row>
    <row r="49" spans="1:11" x14ac:dyDescent="0.2">
      <c r="B49" t="s">
        <v>9</v>
      </c>
      <c r="C49" s="4">
        <f>C48+C47</f>
        <v>4674536666.6666679</v>
      </c>
      <c r="D49" s="4">
        <f>C49/0.65</f>
        <v>7191594871.7948732</v>
      </c>
      <c r="H49" s="5" t="s">
        <v>21</v>
      </c>
      <c r="I49" s="11">
        <f>I47/I48</f>
        <v>9.8934550989345504E-2</v>
      </c>
      <c r="J49" s="6">
        <f>I49/0.65</f>
        <v>0.15220700152207001</v>
      </c>
      <c r="K49" s="5" t="s">
        <v>36</v>
      </c>
    </row>
    <row r="51" spans="1:11" x14ac:dyDescent="0.2">
      <c r="B51" s="5" t="s">
        <v>21</v>
      </c>
      <c r="C51" s="6">
        <f>C49/(C5*1000000)</f>
        <v>0.24255586688805875</v>
      </c>
      <c r="D51" s="6">
        <f>C51/0.65</f>
        <v>0.373162872135475</v>
      </c>
    </row>
    <row r="53" spans="1:11" x14ac:dyDescent="0.2">
      <c r="A53">
        <v>1</v>
      </c>
      <c r="B53" t="s">
        <v>39</v>
      </c>
    </row>
    <row r="54" spans="1:11" x14ac:dyDescent="0.2">
      <c r="A54">
        <v>2</v>
      </c>
      <c r="B54" s="10" t="s">
        <v>39</v>
      </c>
    </row>
    <row r="55" spans="1:11" x14ac:dyDescent="0.2">
      <c r="A55">
        <v>3</v>
      </c>
      <c r="B55" s="10" t="s">
        <v>41</v>
      </c>
    </row>
    <row r="68" spans="3:4" x14ac:dyDescent="0.2">
      <c r="C68">
        <v>17500</v>
      </c>
      <c r="D68" t="s">
        <v>80</v>
      </c>
    </row>
    <row r="69" spans="3:4" x14ac:dyDescent="0.2">
      <c r="C69">
        <f>C68*0.8</f>
        <v>14000</v>
      </c>
      <c r="D69" t="s">
        <v>81</v>
      </c>
    </row>
    <row r="70" spans="3:4" x14ac:dyDescent="0.2">
      <c r="C70">
        <f>C69-4000</f>
        <v>10000</v>
      </c>
      <c r="D70" t="s">
        <v>82</v>
      </c>
    </row>
    <row r="71" spans="3:4" x14ac:dyDescent="0.2">
      <c r="C71">
        <f>C70*0.25</f>
        <v>2500</v>
      </c>
      <c r="D71" t="s">
        <v>83</v>
      </c>
    </row>
    <row r="72" spans="3:4" x14ac:dyDescent="0.2">
      <c r="C72">
        <f>C70*0.75</f>
        <v>7500</v>
      </c>
      <c r="D72" t="s">
        <v>84</v>
      </c>
    </row>
  </sheetData>
  <hyperlinks>
    <hyperlink ref="H41" r:id="rId1" xr:uid="{2B8FC022-7BFB-F147-AB75-414CB2A67321}"/>
    <hyperlink ref="B54" r:id="rId2" xr:uid="{FAB3E0BD-25F5-8248-8508-D79488308386}"/>
    <hyperlink ref="B55" r:id="rId3" xr:uid="{0E8B7AA0-7F86-324C-BA78-D8915FAA12C5}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2020-11-10T20:37:54Z</cp:lastPrinted>
  <dcterms:created xsi:type="dcterms:W3CDTF">2020-11-01T22:03:57Z</dcterms:created>
  <dcterms:modified xsi:type="dcterms:W3CDTF">2020-11-12T01:07:11Z</dcterms:modified>
</cp:coreProperties>
</file>